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9" activeTab="5"/>
  </bookViews>
  <sheets>
    <sheet name="Додаток1" sheetId="1" r:id="rId1"/>
    <sheet name="Додаток1 скор" sheetId="2" state="hidden" r:id="rId2"/>
    <sheet name="Додаток2" sheetId="3" r:id="rId3"/>
    <sheet name="Додаток2 скор" sheetId="4" state="hidden" r:id="rId4"/>
    <sheet name="Додаток3" sheetId="5" r:id="rId5"/>
    <sheet name="Додаток4" sheetId="6" r:id="rId6"/>
    <sheet name="Двоставк" sheetId="7" state="hidden" r:id="rId7"/>
    <sheet name="Додаток5" sheetId="8" state="hidden" r:id="rId8"/>
    <sheet name="Додаток 5" sheetId="9" state="hidden" r:id="rId9"/>
  </sheets>
  <definedNames>
    <definedName name="_xlfn_IFERROR">NA()</definedName>
    <definedName name="Z_8839ED87_9C42_4CC2_A1AD_6EF9611832A1__wvu_Cols" localSheetId="8">'Додаток 5'!$K:$T</definedName>
    <definedName name="Z_8839ED87_9C42_4CC2_A1AD_6EF9611832A1__wvu_Cols" localSheetId="0">'Додаток1'!#REF!</definedName>
    <definedName name="Z_8839ED87_9C42_4CC2_A1AD_6EF9611832A1__wvu_Cols" localSheetId="1">('Додаток1 скор'!$C:$G,'Додаток1 скор'!$W:$AD)</definedName>
    <definedName name="Z_8839ED87_9C42_4CC2_A1AD_6EF9611832A1__wvu_Cols" localSheetId="2">('Додаток2'!$C:$C,'Додаток2'!#REF!)</definedName>
    <definedName name="Z_8839ED87_9C42_4CC2_A1AD_6EF9611832A1__wvu_Cols" localSheetId="3">('Додаток2 скор'!$C:$G,'Додаток2 скор'!$W:$AD)</definedName>
    <definedName name="Z_8839ED87_9C42_4CC2_A1AD_6EF9611832A1__wvu_Cols" localSheetId="4">'Додаток3'!$I:$P</definedName>
    <definedName name="Z_8839ED87_9C42_4CC2_A1AD_6EF9611832A1__wvu_Cols" localSheetId="5">'Додаток4'!$I:$P</definedName>
    <definedName name="Z_8839ED87_9C42_4CC2_A1AD_6EF9611832A1__wvu_PrintArea" localSheetId="6">'Двоставк'!$A$1:$J$57</definedName>
    <definedName name="Z_8839ED87_9C42_4CC2_A1AD_6EF9611832A1__wvu_PrintArea" localSheetId="8">'Додаток 5'!$A$1:$J$57</definedName>
    <definedName name="Z_8839ED87_9C42_4CC2_A1AD_6EF9611832A1__wvu_PrintArea" localSheetId="0">'Додаток1'!$A$1:$K$50</definedName>
    <definedName name="Z_8839ED87_9C42_4CC2_A1AD_6EF9611832A1__wvu_PrintArea" localSheetId="1">'Додаток1 скор'!$A$1:$V$54</definedName>
    <definedName name="Z_8839ED87_9C42_4CC2_A1AD_6EF9611832A1__wvu_PrintArea" localSheetId="2">'Додаток2'!$A$1:$L$47</definedName>
    <definedName name="Z_8839ED87_9C42_4CC2_A1AD_6EF9611832A1__wvu_PrintArea" localSheetId="3">'Додаток2 скор'!$A$1:$V$52</definedName>
    <definedName name="Z_8839ED87_9C42_4CC2_A1AD_6EF9611832A1__wvu_PrintArea" localSheetId="4">'Додаток3'!$A$1:$H$58</definedName>
    <definedName name="Z_8839ED87_9C42_4CC2_A1AD_6EF9611832A1__wvu_PrintArea" localSheetId="5">'Додаток4'!$A$1:$H$51</definedName>
    <definedName name="Z_8839ED87_9C42_4CC2_A1AD_6EF9611832A1__wvu_PrintArea" localSheetId="7">'Додаток5'!$A$1:$C$22</definedName>
    <definedName name="Z_8839ED87_9C42_4CC2_A1AD_6EF9611832A1__wvu_Rows" localSheetId="6">('Двоставк'!$27:$27,'Двоставк'!$31:$31,'Двоставк'!$38:$38,'Двоставк'!$49:$49,'Двоставк'!$53:$53)</definedName>
    <definedName name="Z_8839ED87_9C42_4CC2_A1AD_6EF9611832A1__wvu_Rows" localSheetId="8">('Додаток 5'!$25:$25,'Додаток 5'!$29:$29,'Додаток 5'!$31:$31,'Додаток 5'!$37:$37,'Додаток 5'!$44:$44,'Додаток 5'!$49:$49,'Додаток 5'!$53:$53,'Додаток 5'!$56:$56)</definedName>
    <definedName name="Z_8839ED87_9C42_4CC2_A1AD_6EF9611832A1__wvu_Rows" localSheetId="0">('Додаток1'!$A$30:$HX$32,'Додаток1'!$A$40:$HX$40,'Додаток1'!$A$50:$HX$50,'Додаток1'!$A$53:$HX$53)</definedName>
    <definedName name="Z_8839ED87_9C42_4CC2_A1AD_6EF9611832A1__wvu_Rows" localSheetId="1">('Додаток1 скор'!$37:$39,'Додаток1 скор'!$45:$45)</definedName>
    <definedName name="Z_8839ED87_9C42_4CC2_A1AD_6EF9611832A1__wvu_Rows" localSheetId="2">('Додаток2'!$29:$31,'Додаток2'!$38:$38)</definedName>
    <definedName name="Z_8839ED87_9C42_4CC2_A1AD_6EF9611832A1__wvu_Rows" localSheetId="3">('Додаток2 скор'!$36:$38,'Додаток2 скор'!$44:$44)</definedName>
    <definedName name="Z_8839ED87_9C42_4CC2_A1AD_6EF9611832A1__wvu_Rows" localSheetId="4">('Додаток3'!$A$9:$IT$9,'Додаток3'!$A$32:$IT$34,'Додаток3'!$A$41:$IT$41,'Додаток3'!$A$50:$IT$54,'Додаток3'!$A$57:$IT$57)</definedName>
    <definedName name="Z_8839ED87_9C42_4CC2_A1AD_6EF9611832A1__wvu_Rows" localSheetId="5">('Додаток4'!$A$27:$IT$29,'Додаток4'!$A$36:$IT$36,'Додаток4'!$A$43:$IT$47)</definedName>
    <definedName name="Z_B233FDC7_B79B_43AD_9288_8B6C8ACB6ACB__wvu_PrintArea" localSheetId="6">'Двоставк'!$A$1:$J$57</definedName>
    <definedName name="Z_B233FDC7_B79B_43AD_9288_8B6C8ACB6ACB__wvu_PrintArea" localSheetId="0">'Додаток1'!$A$1:$K$53</definedName>
    <definedName name="Z_B233FDC7_B79B_43AD_9288_8B6C8ACB6ACB__wvu_PrintArea" localSheetId="1">'Додаток1 скор'!$A$1:$V$57</definedName>
    <definedName name="Z_B233FDC7_B79B_43AD_9288_8B6C8ACB6ACB__wvu_PrintArea" localSheetId="2">'Додаток2'!$A$1:$L$49</definedName>
    <definedName name="Z_B233FDC7_B79B_43AD_9288_8B6C8ACB6ACB__wvu_Rows" localSheetId="6">('Двоставк'!$27:$27,'Двоставк'!$31:$31,'Двоставк'!$38:$38,'Двоставк'!$49:$49,'Двоставк'!$53:$53)</definedName>
    <definedName name="Z_BF9F446D_D2F9_4EAA_BD71_B531E336462E__wvu_Cols" localSheetId="8">'Додаток 5'!$K:$T</definedName>
    <definedName name="Z_BF9F446D_D2F9_4EAA_BD71_B531E336462E__wvu_Cols" localSheetId="0">'Додаток1'!#REF!</definedName>
    <definedName name="Z_BF9F446D_D2F9_4EAA_BD71_B531E336462E__wvu_Cols" localSheetId="1">('Додаток1 скор'!$C:$C,'Додаток1 скор'!$W:$AD)</definedName>
    <definedName name="Z_BF9F446D_D2F9_4EAA_BD71_B531E336462E__wvu_Cols" localSheetId="2">('Додаток2'!$C:$C,'Додаток2'!#REF!)</definedName>
    <definedName name="Z_BF9F446D_D2F9_4EAA_BD71_B531E336462E__wvu_Cols" localSheetId="3">('Додаток2 скор'!$C:$C,'Додаток2 скор'!$W:$AD)</definedName>
    <definedName name="Z_BF9F446D_D2F9_4EAA_BD71_B531E336462E__wvu_Cols" localSheetId="4">'Додаток3'!$I:$P</definedName>
    <definedName name="Z_BF9F446D_D2F9_4EAA_BD71_B531E336462E__wvu_Cols" localSheetId="5">'Додаток4'!$I:$P</definedName>
    <definedName name="Z_BF9F446D_D2F9_4EAA_BD71_B531E336462E__wvu_PrintArea" localSheetId="6">'Двоставк'!$A$1:$J$57</definedName>
    <definedName name="Z_BF9F446D_D2F9_4EAA_BD71_B531E336462E__wvu_PrintArea" localSheetId="8">'Додаток 5'!$A$1:$J$57</definedName>
    <definedName name="Z_BF9F446D_D2F9_4EAA_BD71_B531E336462E__wvu_PrintArea" localSheetId="0">'Додаток1'!$A$1:$K$50</definedName>
    <definedName name="Z_BF9F446D_D2F9_4EAA_BD71_B531E336462E__wvu_PrintArea" localSheetId="1">'Додаток1 скор'!$A$1:$V$54</definedName>
    <definedName name="Z_BF9F446D_D2F9_4EAA_BD71_B531E336462E__wvu_PrintArea" localSheetId="2">'Додаток2'!$A$1:$L$47</definedName>
    <definedName name="Z_BF9F446D_D2F9_4EAA_BD71_B531E336462E__wvu_PrintArea" localSheetId="3">'Додаток2 скор'!$A$1:$V$52</definedName>
    <definedName name="Z_BF9F446D_D2F9_4EAA_BD71_B531E336462E__wvu_PrintArea" localSheetId="4">'Додаток3'!$A$1:$H$58</definedName>
    <definedName name="Z_BF9F446D_D2F9_4EAA_BD71_B531E336462E__wvu_PrintArea" localSheetId="5">'Додаток4'!$A$1:$H$51</definedName>
    <definedName name="Z_BF9F446D_D2F9_4EAA_BD71_B531E336462E__wvu_PrintArea" localSheetId="7">'Додаток5'!$A$1:$C$22</definedName>
    <definedName name="Z_BF9F446D_D2F9_4EAA_BD71_B531E336462E__wvu_Rows" localSheetId="6">('Двоставк'!$27:$27,'Двоставк'!$31:$31,'Двоставк'!$38:$38,'Двоставк'!$49:$49,'Двоставк'!$53:$53)</definedName>
    <definedName name="Z_BF9F446D_D2F9_4EAA_BD71_B531E336462E__wvu_Rows" localSheetId="8">('Додаток 5'!$25:$25,'Додаток 5'!$29:$29,'Додаток 5'!$31:$31,'Додаток 5'!$37:$37,'Додаток 5'!$44:$44,'Додаток 5'!$49:$49,'Додаток 5'!$53:$53,'Додаток 5'!$56:$56)</definedName>
    <definedName name="Z_BF9F446D_D2F9_4EAA_BD71_B531E336462E__wvu_Rows" localSheetId="0">('Додаток1'!$A$30:$HX$32,'Додаток1'!$A$40:$HX$40,'Додаток1'!$A$50:$HX$50,'Додаток1'!$A$53:$HX$53)</definedName>
    <definedName name="Z_BF9F446D_D2F9_4EAA_BD71_B531E336462E__wvu_Rows" localSheetId="1">('Додаток1 скор'!$37:$39,'Додаток1 скор'!$45:$45)</definedName>
    <definedName name="Z_BF9F446D_D2F9_4EAA_BD71_B531E336462E__wvu_Rows" localSheetId="2">('Додаток2'!$29:$31,'Додаток2'!$38:$38)</definedName>
    <definedName name="Z_BF9F446D_D2F9_4EAA_BD71_B531E336462E__wvu_Rows" localSheetId="3">('Додаток2 скор'!$36:$38,'Додаток2 скор'!$44:$44)</definedName>
    <definedName name="Z_BF9F446D_D2F9_4EAA_BD71_B531E336462E__wvu_Rows" localSheetId="4">('Додаток3'!$A$9:$IT$9,'Додаток3'!$A$32:$IT$34,'Додаток3'!$A$41:$IT$41,'Додаток3'!$A$50:$IT$54,'Додаток3'!$A$57:$IT$57)</definedName>
    <definedName name="Z_BF9F446D_D2F9_4EAA_BD71_B531E336462E__wvu_Rows" localSheetId="5">('Додаток4'!$A$27:$IT$29,'Додаток4'!$A$36:$IT$36,'Додаток4'!$A$43:$IT$47)</definedName>
    <definedName name="_xlnm.Print_Area" localSheetId="6">'Двоставк'!$A$1:$J$57</definedName>
    <definedName name="_xlnm.Print_Area" localSheetId="8">'Додаток 5'!$A$1:$J$57</definedName>
    <definedName name="_xlnm.Print_Area" localSheetId="0">'Додаток1'!$A$1:$K$50</definedName>
    <definedName name="_xlnm.Print_Area" localSheetId="1">'Додаток1 скор'!$A$1:$V$54</definedName>
    <definedName name="_xlnm.Print_Area" localSheetId="2">'Додаток2'!$A$1:$L$47</definedName>
    <definedName name="_xlnm.Print_Area" localSheetId="3">'Додаток2 скор'!$A$1:$V$52</definedName>
    <definedName name="_xlnm.Print_Area" localSheetId="4">'Додаток3'!$A$1:$H$58</definedName>
    <definedName name="_xlnm.Print_Area" localSheetId="5">'Додаток4'!$A$1:$H$52</definedName>
    <definedName name="_xlnm.Print_Area" localSheetId="7">'Додаток5'!$A$1:$C$22</definedName>
  </definedNames>
  <calcPr fullCalcOnLoad="1"/>
</workbook>
</file>

<file path=xl/sharedStrings.xml><?xml version="1.0" encoding="utf-8"?>
<sst xmlns="http://schemas.openxmlformats.org/spreadsheetml/2006/main" count="891" uniqueCount="264">
  <si>
    <t>Додаток 1</t>
  </si>
  <si>
    <t>КП "Лисичанськтепломережа"</t>
  </si>
  <si>
    <t xml:space="preserve">№ з/п </t>
  </si>
  <si>
    <t xml:space="preserve">Найменування показників </t>
  </si>
  <si>
    <t xml:space="preserve">Сумарні та середньо-зважені показники                  </t>
  </si>
  <si>
    <t>Для потреб населення</t>
  </si>
  <si>
    <t>тис. грн на рік</t>
  </si>
  <si>
    <t>грн/Гкал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</si>
  <si>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</si>
  <si>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</si>
  <si>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</si>
  <si>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</si>
  <si>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 xml:space="preserve">витрати на паливо </t>
  </si>
  <si>
    <t>1.1.2</t>
  </si>
  <si>
    <t>витрати на електроенергію</t>
  </si>
  <si>
    <t>1.1.3</t>
  </si>
  <si>
    <t>собівартість теплової енергії власних ТЕЦ, ТЕС, КГУ</t>
  </si>
  <si>
    <t>1.1.4</t>
  </si>
  <si>
    <t>витрати на покупну теплову енергію</t>
  </si>
  <si>
    <t>1.1.5</t>
  </si>
  <si>
    <t>транспортування теплової енергії тепловими мережами інших пілприємств</t>
  </si>
  <si>
    <t>1.1.6</t>
  </si>
  <si>
    <t xml:space="preserve">вода для технологічних потреб та водовідведення </t>
  </si>
  <si>
    <t>1.1.7</t>
  </si>
  <si>
    <t xml:space="preserve">матеріали, запасні частини та інші матеріальні ресурси </t>
  </si>
  <si>
    <t>1.2</t>
  </si>
  <si>
    <t>прямі витрати на оплату праці з відрахув.на соц. заходи</t>
  </si>
  <si>
    <t>1.3</t>
  </si>
  <si>
    <t xml:space="preserve">інші прямі витрати, у т. ч.: </t>
  </si>
  <si>
    <t>1.3.1</t>
  </si>
  <si>
    <t xml:space="preserve">амортизаційні відрахування </t>
  </si>
  <si>
    <t>1.3.2</t>
  </si>
  <si>
    <t xml:space="preserve">інші прямі витрати </t>
  </si>
  <si>
    <t>1.4</t>
  </si>
  <si>
    <t xml:space="preserve">загальновиробничі витрати, у т. ч.: </t>
  </si>
  <si>
    <t>1.4.1</t>
  </si>
  <si>
    <t>витрати на оплату праці з відрахув.на.соц.заходи</t>
  </si>
  <si>
    <t>1.4.2</t>
  </si>
  <si>
    <t xml:space="preserve">інші витрати </t>
  </si>
  <si>
    <t>2</t>
  </si>
  <si>
    <t xml:space="preserve">Адміністративні витрати, у т. ч.: </t>
  </si>
  <si>
    <t>2.1</t>
  </si>
  <si>
    <t>2.2</t>
  </si>
  <si>
    <t>3.1</t>
  </si>
  <si>
    <t xml:space="preserve">витрати на оплату праці </t>
  </si>
  <si>
    <t>3.2</t>
  </si>
  <si>
    <t xml:space="preserve">відрахування на соціальні заходи </t>
  </si>
  <si>
    <t>3.3</t>
  </si>
  <si>
    <t>3</t>
  </si>
  <si>
    <t>Витрати на збут</t>
  </si>
  <si>
    <t>Інші операційні витрати</t>
  </si>
  <si>
    <t xml:space="preserve">Фінансові витрати </t>
  </si>
  <si>
    <t>Повна собівартість</t>
  </si>
  <si>
    <t>Витрати на покриття втрат</t>
  </si>
  <si>
    <t xml:space="preserve">Розрахунковий прибуток, у т. ч.: </t>
  </si>
  <si>
    <t>8.1</t>
  </si>
  <si>
    <t xml:space="preserve">податок на прибуток </t>
  </si>
  <si>
    <t>7.2</t>
  </si>
  <si>
    <t xml:space="preserve">дивіденди </t>
  </si>
  <si>
    <t>8.2</t>
  </si>
  <si>
    <t>8.3</t>
  </si>
  <si>
    <t xml:space="preserve">на розвиток виробництва (виробничі інвестиції) </t>
  </si>
  <si>
    <t>8.4</t>
  </si>
  <si>
    <t xml:space="preserve">Вартість  теплової енергії за відповідними тарифами </t>
  </si>
  <si>
    <t>Тарифи на теплову енергію, грн/Гкал</t>
  </si>
  <si>
    <t xml:space="preserve">Обсяг реалізації теплової енергії власним споживачам, Гкал </t>
  </si>
  <si>
    <t>Член Комісії</t>
  </si>
  <si>
    <t xml:space="preserve">Начальник Управління тарифної політики в сфері теплопостачання </t>
  </si>
  <si>
    <t>М.Расковський</t>
  </si>
  <si>
    <r>
      <t>Розрахунок тарифів на теплову енергію шляхом коригування узгоджених Департаментом тарифної політики у сфері теплопостачання тарифів за заявою ліцензіата                                                                              КП "Лисичанськтепломережа" (</t>
    </r>
    <r>
      <rPr>
        <b/>
        <sz val="15"/>
        <color indexed="10"/>
        <rFont val="Times New Roman"/>
        <family val="1"/>
      </rPr>
      <t>вхідний № ______________</t>
    </r>
    <r>
      <rPr>
        <b/>
        <sz val="15"/>
        <rFont val="Times New Roman"/>
        <family val="1"/>
      </rPr>
      <t>) на зміну цін природного газу і покупної теплової енергії та собівартості теплової енергії власних ТЕЦ, ТЕС, КГУ відповідно до пункту 8 Порядку формування тарифів на теплову енергію, її виробництво, транспортування, постачання, затвердженого постановою КМУ від 01.06.2011 № 869</t>
    </r>
  </si>
  <si>
    <t>Без ПДВ</t>
  </si>
  <si>
    <t xml:space="preserve">Одиниця виміру </t>
  </si>
  <si>
    <t xml:space="preserve">Сумарні та середньозважені показники           </t>
  </si>
  <si>
    <t xml:space="preserve">Для потреб населення                      </t>
  </si>
  <si>
    <t xml:space="preserve">Для потреб бюджетних установ </t>
  </si>
  <si>
    <t xml:space="preserve">Для потреб інших споживачів                  </t>
  </si>
  <si>
    <t xml:space="preserve">Сумарні та середньо зважені показники                  </t>
  </si>
  <si>
    <t>Для бюджетних установ</t>
  </si>
  <si>
    <t xml:space="preserve">Для  інших споживачів </t>
  </si>
  <si>
    <t>За заявою ліцензіата</t>
  </si>
  <si>
    <t>Скориговані показники</t>
  </si>
  <si>
    <t>Коефі-цієнт зміни</t>
  </si>
  <si>
    <t>раз</t>
  </si>
  <si>
    <t>тис.грн на рік</t>
  </si>
  <si>
    <t xml:space="preserve">тис. грн </t>
  </si>
  <si>
    <t xml:space="preserve">витрати на паливо, у т. ч.: </t>
  </si>
  <si>
    <t>1.1.1.1</t>
  </si>
  <si>
    <t>природний газ</t>
  </si>
  <si>
    <t>1.1.1.2</t>
  </si>
  <si>
    <t>інші види палива</t>
  </si>
  <si>
    <t xml:space="preserve">витрати на електроенергію </t>
  </si>
  <si>
    <t>собівартість теплової енергії власних ТЕЦ, ТЕС, КГУ, у т. ч.:</t>
  </si>
  <si>
    <t>1.1.3.1</t>
  </si>
  <si>
    <t>1.1.3.2</t>
  </si>
  <si>
    <t>витрати на покупну теплову енергію у т. ч.:</t>
  </si>
  <si>
    <t>1.1.4.1</t>
  </si>
  <si>
    <t>1.1.4.2</t>
  </si>
  <si>
    <t xml:space="preserve">прямі витрати на оплату праці </t>
  </si>
  <si>
    <t>1.3.3</t>
  </si>
  <si>
    <t>1.4.3</t>
  </si>
  <si>
    <t>2.3</t>
  </si>
  <si>
    <t>7.1</t>
  </si>
  <si>
    <t>7.3</t>
  </si>
  <si>
    <t>7.4</t>
  </si>
  <si>
    <t>інше використання прибутку (прибуток у тарифах НКРЕ)</t>
  </si>
  <si>
    <t xml:space="preserve">Вартість виробництва теплової енергії за відповідними тарифами </t>
  </si>
  <si>
    <t>Тарифи на виробництво теплової енергії, грн/Гкал</t>
  </si>
  <si>
    <t xml:space="preserve">Гкал </t>
  </si>
  <si>
    <t>Рівень рентабельності, %</t>
  </si>
  <si>
    <t>Діючі тарифи на теплову енергію</t>
  </si>
  <si>
    <t>Додаток 2</t>
  </si>
  <si>
    <t>Для потреб
 населення</t>
  </si>
  <si>
    <t>вода для технологічних потреб та водовідведення</t>
  </si>
  <si>
    <t>матеріали, запасні частини та інші матеріальні ресурси</t>
  </si>
  <si>
    <t>прямі витрати на оплату праці з відрахуваннями на соц. заходи</t>
  </si>
  <si>
    <t>1.4.32</t>
  </si>
  <si>
    <r>
      <t>Розрахунок тарифів на виробництво теплової енергії шляхом коригування узгоджених Департаментом тарифної політики у сфері теплопостачання тарифів за заявою ліцензіата                        КП "Лисичанськтепломережа"(вх</t>
    </r>
    <r>
      <rPr>
        <b/>
        <sz val="15"/>
        <color indexed="10"/>
        <rFont val="Times New Roman"/>
        <family val="1"/>
      </rPr>
      <t>ідний №____________</t>
    </r>
    <r>
      <rPr>
        <b/>
        <sz val="15"/>
        <rFont val="Times New Roman"/>
        <family val="1"/>
      </rPr>
      <t>) на зміну цін природного газу і покупної теплової енергії та собівартості теплової енергії власних ТЕЦ, ТЕС, КГУ відповідно до пункту 8 Порядку формування тарифів на теплову енергію, її виробництво, транспортування, постачання, затвердженого постановою КМУ від 01.06.2011 № 869</t>
    </r>
  </si>
  <si>
    <t xml:space="preserve">Для потреб населення                       </t>
  </si>
  <si>
    <t xml:space="preserve">резервний фонд (капітал) та дивіденди </t>
  </si>
  <si>
    <t>Додаток 3</t>
  </si>
  <si>
    <t>Структура тарифів на транспортування теплової енергії</t>
  </si>
  <si>
    <t>Сумарні та середньо-зважені показники</t>
  </si>
  <si>
    <t>Сумарні та середньо зважені показники</t>
  </si>
  <si>
    <t>Для бюджетих  установ</t>
  </si>
  <si>
    <t xml:space="preserve">прямі матеріальні витрати, у т.ч.: </t>
  </si>
  <si>
    <t xml:space="preserve">транспортування теплової енергії тепловими мережами інших підприємств </t>
  </si>
  <si>
    <t>прямі витрати на оплату праці з відрахуваннями на соц.заходи</t>
  </si>
  <si>
    <t xml:space="preserve">інші прямі витрати, у т.ч.: </t>
  </si>
  <si>
    <t xml:space="preserve">загальновиробничі витрати, у т.ч.: </t>
  </si>
  <si>
    <t>витрати на оплату праці з відрахуванням на соц.заходи</t>
  </si>
  <si>
    <t xml:space="preserve">Адміністративні витрати, у т.ч.: </t>
  </si>
  <si>
    <t>інші витрати</t>
  </si>
  <si>
    <t xml:space="preserve">Повна собівартість </t>
  </si>
  <si>
    <t xml:space="preserve">Розрахунковий прибуток,  у т.ч.: </t>
  </si>
  <si>
    <t xml:space="preserve">інше використання прибутку </t>
  </si>
  <si>
    <t>9</t>
  </si>
  <si>
    <t xml:space="preserve">Вартість транспортування теплової енергії за відповідними тарифами </t>
  </si>
  <si>
    <t>10.1</t>
  </si>
  <si>
    <t xml:space="preserve">Тарифи на транспортування теплової енергії, грн/Гкал </t>
  </si>
  <si>
    <t xml:space="preserve">Корисний відпуск теплової енергії з мереж ліцензіата, Гкал,  у т. ч.: </t>
  </si>
  <si>
    <t>11.1</t>
  </si>
  <si>
    <t>теплової енергії інших власників</t>
  </si>
  <si>
    <t>11.2</t>
  </si>
  <si>
    <t>теплової енергії власним споживачам</t>
  </si>
  <si>
    <t>12.3.1</t>
  </si>
  <si>
    <t xml:space="preserve">населення </t>
  </si>
  <si>
    <t>12.2.2</t>
  </si>
  <si>
    <t xml:space="preserve">бюджетних установ </t>
  </si>
  <si>
    <t>12.2.3</t>
  </si>
  <si>
    <t xml:space="preserve">інших споживачів </t>
  </si>
  <si>
    <t xml:space="preserve">Обсяг транспортування теплової енергії ліцензіата мережами іншого(их) транспортувальника(ів) </t>
  </si>
  <si>
    <t xml:space="preserve">Тариф(и) іншого(их) транспортувальника(ів) на транспортування теплової енергії </t>
  </si>
  <si>
    <t>Додаток 4</t>
  </si>
  <si>
    <t xml:space="preserve">до постанови </t>
  </si>
  <si>
    <t>Структура тарифів на постачання теплової енергії</t>
  </si>
  <si>
    <t>Для  потреб населення</t>
  </si>
  <si>
    <t>Для  бюджетних установ</t>
  </si>
  <si>
    <t xml:space="preserve">Для інших споживачів </t>
  </si>
  <si>
    <t>прямі матеріальні витрати</t>
  </si>
  <si>
    <t>прямі витрати на оплату праці з відрахуванням на соц. заходи</t>
  </si>
  <si>
    <t>витрати на оплату праці з відрахуваннями на соц.заходи</t>
  </si>
  <si>
    <t xml:space="preserve">Інші операційні витрати </t>
  </si>
  <si>
    <t>витрати на покриття втрат</t>
  </si>
  <si>
    <t xml:space="preserve">Розрахунковий прибуток, у т.ч.: </t>
  </si>
  <si>
    <t xml:space="preserve">Вартість постачання теплової енергії за відповідними тарифами </t>
  </si>
  <si>
    <t xml:space="preserve">Тарифи на постачання теплової енергії, грн/Гкал </t>
  </si>
  <si>
    <t>Обсяг реалізації теплової енергії власним споживачам, Гкал</t>
  </si>
  <si>
    <t>бюджетних установ</t>
  </si>
  <si>
    <t>10.2</t>
  </si>
  <si>
    <t>інших споживачів (крім населення)</t>
  </si>
  <si>
    <t xml:space="preserve"> </t>
  </si>
  <si>
    <t>Додаток  5</t>
  </si>
  <si>
    <t>_________________№______</t>
  </si>
  <si>
    <t>Структура двоставкових тарифів на теплову енергію</t>
  </si>
  <si>
    <t xml:space="preserve">без ПДВ </t>
  </si>
  <si>
    <t>Сумарні та середньозважені показники</t>
  </si>
  <si>
    <t>Для потреб 
населення</t>
  </si>
  <si>
    <t>Для потреб  бюджетних установ</t>
  </si>
  <si>
    <t>Для потреб інших споживачів</t>
  </si>
  <si>
    <t>грн/Гкал, грн/Гкал/год</t>
  </si>
  <si>
    <t xml:space="preserve">Теплове навантаження об'єктів теплоспоживання власних споживачів, Гкал/год </t>
  </si>
  <si>
    <t xml:space="preserve">Виробництво теплової енергії </t>
  </si>
  <si>
    <t xml:space="preserve">Повна планова собівартість виробництва теплової енергії, у т. ч.: </t>
  </si>
  <si>
    <t xml:space="preserve">умовно-змінні витрати, у т. ч.: </t>
  </si>
  <si>
    <t>3.1.1</t>
  </si>
  <si>
    <t xml:space="preserve">витрати на технологічне паливо для виробництва теплової енергії котельнями </t>
  </si>
  <si>
    <t>3.1.2</t>
  </si>
  <si>
    <t xml:space="preserve">витрати на технологічну електроенергію для виробництва теплової енергії котельнями </t>
  </si>
  <si>
    <t>3.1.3</t>
  </si>
  <si>
    <t xml:space="preserve"> собівартість виробництва власних ТЕЦ, ТЕС, АЕС, когенераційних установок</t>
  </si>
  <si>
    <t>3.1.4</t>
  </si>
  <si>
    <t xml:space="preserve">покупна теплова енергія </t>
  </si>
  <si>
    <t xml:space="preserve">умовно-постійні витрати, усього - решта витрат собівартості виробництва теплової енергії </t>
  </si>
  <si>
    <t xml:space="preserve">Плановий прибуток у тарифах на виробництво теплової енергії, у т. ч.: </t>
  </si>
  <si>
    <t>4.1</t>
  </si>
  <si>
    <t xml:space="preserve">в умовно-змінній частині </t>
  </si>
  <si>
    <t>4.2</t>
  </si>
  <si>
    <t xml:space="preserve">в умовно-постійній частині </t>
  </si>
  <si>
    <t xml:space="preserve">Умовно-змінна частина двоставкового тарифу на виробництво теплової енергії, грн/Гкал, у т. ч.: </t>
  </si>
  <si>
    <t>5.1</t>
  </si>
  <si>
    <t xml:space="preserve">складова собівартості  </t>
  </si>
  <si>
    <t>5.2</t>
  </si>
  <si>
    <t xml:space="preserve">складова прибутку </t>
  </si>
  <si>
    <t>5.3</t>
  </si>
  <si>
    <t xml:space="preserve">рівень рентабельності </t>
  </si>
  <si>
    <r>
      <t>Умовно-постійна частина двоставкового тарифу на виробництво теплової енергії (</t>
    </r>
    <r>
      <rPr>
        <b/>
        <sz val="12"/>
        <rFont val="Times New Roman"/>
        <family val="1"/>
      </rPr>
      <t>місячна плата</t>
    </r>
    <r>
      <rPr>
        <b/>
        <sz val="12.5"/>
        <rFont val="Times New Roman"/>
        <family val="1"/>
      </rPr>
      <t xml:space="preserve"> на </t>
    </r>
    <r>
      <rPr>
        <b/>
        <sz val="12"/>
        <rFont val="Times New Roman"/>
        <family val="1"/>
      </rPr>
      <t>одиницю теплового навантаження</t>
    </r>
    <r>
      <rPr>
        <b/>
        <sz val="12.5"/>
        <rFont val="Times New Roman"/>
        <family val="1"/>
      </rPr>
      <t xml:space="preserve">), грн/Гкал/год: </t>
    </r>
  </si>
  <si>
    <t>6.1</t>
  </si>
  <si>
    <t xml:space="preserve">складова собівартості </t>
  </si>
  <si>
    <t>6.2</t>
  </si>
  <si>
    <t>6.3</t>
  </si>
  <si>
    <t xml:space="preserve">Транспортування теплової енергії </t>
  </si>
  <si>
    <t xml:space="preserve">Повна планова собівартість транспортування теплової енергії, умовно-постійні витрати </t>
  </si>
  <si>
    <t xml:space="preserve">Плановий прибуток у тарифах на транспортування теплової енергії </t>
  </si>
  <si>
    <t xml:space="preserve">Місячна плата за транспортування теплової енергії на одиницю теплового навантаження, грн/Гкал/год, у т.ч.: </t>
  </si>
  <si>
    <t>9.1</t>
  </si>
  <si>
    <t>9.2</t>
  </si>
  <si>
    <t>складова прибутку</t>
  </si>
  <si>
    <t>9.3</t>
  </si>
  <si>
    <t xml:space="preserve">Постачання теплової енергії </t>
  </si>
  <si>
    <t xml:space="preserve">Повна планова собівартість постачання теплової енергії, усього - умовно-постійні витрати </t>
  </si>
  <si>
    <t xml:space="preserve">Плановий прибуток у тарифах на постачання теплової енергії </t>
  </si>
  <si>
    <t xml:space="preserve">Місячна плата за постачання теплової енергії на одиницю теплового навантаження, грн/Гкал/год: </t>
  </si>
  <si>
    <t>12.1</t>
  </si>
  <si>
    <t>12.2</t>
  </si>
  <si>
    <t xml:space="preserve">складова прибутку  </t>
  </si>
  <si>
    <t xml:space="preserve">Двоставкові тарифи на теплову енергію для кінцевих споживачів </t>
  </si>
  <si>
    <t xml:space="preserve">Умовно-змінна частина двоставкового тарифу на теплову енергію,  грн/Гкал, у т. ч.: </t>
  </si>
  <si>
    <t>13.1</t>
  </si>
  <si>
    <t>13.2</t>
  </si>
  <si>
    <t>13.3</t>
  </si>
  <si>
    <t xml:space="preserve">Умовно-постійна частина двоставкового тарифу на теплову енергію ( місячна плата на одиницю теплового навантаження), грн/Гкал/год, у т. ч.: </t>
  </si>
  <si>
    <t>14.1</t>
  </si>
  <si>
    <t>14.2</t>
  </si>
  <si>
    <t>14.3</t>
  </si>
  <si>
    <t>Директор Департаменту тарифної політики у сфері теплопостачання</t>
  </si>
  <si>
    <t xml:space="preserve"> М.Расковський</t>
  </si>
  <si>
    <t xml:space="preserve">                               Додаток 5</t>
  </si>
  <si>
    <t xml:space="preserve">                               до постанови</t>
  </si>
  <si>
    <t xml:space="preserve">                               ___________№_________</t>
  </si>
  <si>
    <t xml:space="preserve">Джерела фінансування Інвестиційної програми </t>
  </si>
  <si>
    <t>Джерела фінансування</t>
  </si>
  <si>
    <t>сума,  грн</t>
  </si>
  <si>
    <t>Усього з урахуванням ПДВ</t>
  </si>
  <si>
    <t>Усього без урахування ПДВ, у тому числі:</t>
  </si>
  <si>
    <t>амортизаційні відрахування</t>
  </si>
  <si>
    <t>інвестиційна складова прибутку на розвиток виробництва (капітальні інвестиції на будівництво, реконструкцію, модернізацію об`ектів теплопостачання)</t>
  </si>
  <si>
    <t>інші джерела</t>
  </si>
  <si>
    <t xml:space="preserve">       </t>
  </si>
  <si>
    <t>Заступник директора
Департаменту тарифної політики
у сфері теплопостачання                                                             Є. Магльованний</t>
  </si>
  <si>
    <t xml:space="preserve">Директор Департаменту регулювання відносин,
інвестиційної політики та технічного розвитку
у сфері теплопостачання                                                                       С. Кремена </t>
  </si>
  <si>
    <t>від_________№______________</t>
  </si>
  <si>
    <t xml:space="preserve">Структура двоставкових тарифів на теплову енергію   </t>
  </si>
  <si>
    <t xml:space="preserve">N з/п </t>
  </si>
  <si>
    <t>Для інших споживачів</t>
  </si>
  <si>
    <t xml:space="preserve">умовно- змінні витрати, у т. ч.: </t>
  </si>
  <si>
    <t>покупна теплова енергія та собівартість виробництва власних ТЕЦ, ТЕС, АЕС, когенераційних установок</t>
  </si>
  <si>
    <t xml:space="preserve">умовно- постійні витрати, усього - решта витрат собівартості виробництва теплової енергії </t>
  </si>
  <si>
    <t xml:space="preserve">Теплове навантаження об'єктів теплоспоживання власних споживачів та споживачів інших власників теплової енергії, яка транспортується мережами ліцензіата </t>
  </si>
  <si>
    <t xml:space="preserve">Повна планова собівартість транспортування теплової енергії власним споживачам, - умовно-постійні витрати </t>
  </si>
  <si>
    <t>12.3</t>
  </si>
  <si>
    <t>В.Кальченко</t>
  </si>
  <si>
    <t>М. Расковський</t>
  </si>
  <si>
    <t xml:space="preserve">Структура тарифів на теплову енергію </t>
  </si>
  <si>
    <t>Структура тарифів на виробництво теплової енергії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</si>
</sst>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г_р_н_._-;\-* #,##0.00\ _г_р_н_._-;_-* \-??\ _г_р_н_._-;_-@_-"/>
    <numFmt numFmtId="165" formatCode="_(* #,##0.00_);_(* \(#,##0.00\);_(* \-??_);_(@_)"/>
    <numFmt numFmtId="166" formatCode="dd/mm/yy"/>
    <numFmt numFmtId="167" formatCode="0.0000"/>
    <numFmt numFmtId="168" formatCode="0.000"/>
    <numFmt numFmtId="169" formatCode="#,##0.000"/>
    <numFmt numFmtId="170" formatCode="0.000000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6"/>
      <name val="Arial"/>
      <family val="2"/>
    </font>
    <font>
      <b/>
      <sz val="15"/>
      <name val="Times New Roman"/>
      <family val="1"/>
    </font>
    <font>
      <b/>
      <sz val="15"/>
      <color indexed="10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0"/>
      <color indexed="8"/>
      <name val="Calibri"/>
      <family val="2"/>
    </font>
    <font>
      <sz val="16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5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12.5"/>
      <name val="Times New Roman"/>
      <family val="1"/>
    </font>
    <font>
      <b/>
      <sz val="12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3"/>
      <name val="Times New Roman"/>
      <family val="1"/>
    </font>
    <font>
      <b/>
      <sz val="10.5"/>
      <name val="Arial"/>
      <family val="2"/>
    </font>
    <font>
      <b/>
      <sz val="11.5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56" fillId="4" borderId="0" applyNumberFormat="0" applyBorder="0" applyAlignment="0" applyProtection="0"/>
    <xf numFmtId="0" fontId="1" fillId="5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1" fillId="15" borderId="0" applyNumberFormat="0" applyBorder="0" applyAlignment="0" applyProtection="0"/>
    <xf numFmtId="0" fontId="56" fillId="16" borderId="0" applyNumberFormat="0" applyBorder="0" applyAlignment="0" applyProtection="0"/>
    <xf numFmtId="0" fontId="1" fillId="17" borderId="0" applyNumberFormat="0" applyBorder="0" applyAlignment="0" applyProtection="0"/>
    <xf numFmtId="0" fontId="56" fillId="18" borderId="0" applyNumberFormat="0" applyBorder="0" applyAlignment="0" applyProtection="0"/>
    <xf numFmtId="0" fontId="1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9" borderId="0" applyNumberFormat="0" applyBorder="0" applyAlignment="0" applyProtection="0"/>
    <xf numFmtId="0" fontId="56" fillId="21" borderId="0" applyNumberFormat="0" applyBorder="0" applyAlignment="0" applyProtection="0"/>
    <xf numFmtId="0" fontId="1" fillId="15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57" fillId="26" borderId="0" applyNumberFormat="0" applyBorder="0" applyAlignment="0" applyProtection="0"/>
    <xf numFmtId="0" fontId="2" fillId="17" borderId="0" applyNumberFormat="0" applyBorder="0" applyAlignment="0" applyProtection="0"/>
    <xf numFmtId="0" fontId="57" fillId="27" borderId="0" applyNumberFormat="0" applyBorder="0" applyAlignment="0" applyProtection="0"/>
    <xf numFmtId="0" fontId="2" fillId="19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57" fillId="30" borderId="0" applyNumberFormat="0" applyBorder="0" applyAlignment="0" applyProtection="0"/>
    <xf numFmtId="0" fontId="2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164" fontId="0" fillId="0" borderId="0" applyFill="0" applyBorder="0" applyAlignment="0" applyProtection="0"/>
    <xf numFmtId="0" fontId="57" fillId="34" borderId="0" applyNumberFormat="0" applyBorder="0" applyAlignment="0" applyProtection="0"/>
    <xf numFmtId="0" fontId="2" fillId="35" borderId="0" applyNumberFormat="0" applyBorder="0" applyAlignment="0" applyProtection="0"/>
    <xf numFmtId="0" fontId="57" fillId="36" borderId="0" applyNumberFormat="0" applyBorder="0" applyAlignment="0" applyProtection="0"/>
    <xf numFmtId="0" fontId="2" fillId="37" borderId="0" applyNumberFormat="0" applyBorder="0" applyAlignment="0" applyProtection="0"/>
    <xf numFmtId="0" fontId="57" fillId="38" borderId="0" applyNumberFormat="0" applyBorder="0" applyAlignment="0" applyProtection="0"/>
    <xf numFmtId="0" fontId="2" fillId="39" borderId="0" applyNumberFormat="0" applyBorder="0" applyAlignment="0" applyProtection="0"/>
    <xf numFmtId="0" fontId="57" fillId="40" borderId="0" applyNumberFormat="0" applyBorder="0" applyAlignment="0" applyProtection="0"/>
    <xf numFmtId="0" fontId="2" fillId="29" borderId="0" applyNumberFormat="0" applyBorder="0" applyAlignment="0" applyProtection="0"/>
    <xf numFmtId="0" fontId="57" fillId="41" borderId="0" applyNumberFormat="0" applyBorder="0" applyAlignment="0" applyProtection="0"/>
    <xf numFmtId="0" fontId="2" fillId="31" borderId="0" applyNumberFormat="0" applyBorder="0" applyAlignment="0" applyProtection="0"/>
    <xf numFmtId="0" fontId="57" fillId="42" borderId="0" applyNumberFormat="0" applyBorder="0" applyAlignment="0" applyProtection="0"/>
    <xf numFmtId="0" fontId="2" fillId="43" borderId="0" applyNumberFormat="0" applyBorder="0" applyAlignment="0" applyProtection="0"/>
    <xf numFmtId="0" fontId="58" fillId="44" borderId="1" applyNumberFormat="0" applyAlignment="0" applyProtection="0"/>
    <xf numFmtId="0" fontId="3" fillId="13" borderId="2" applyNumberFormat="0" applyAlignment="0" applyProtection="0"/>
    <xf numFmtId="0" fontId="59" fillId="45" borderId="3" applyNumberFormat="0" applyAlignment="0" applyProtection="0"/>
    <xf numFmtId="0" fontId="4" fillId="46" borderId="4" applyNumberFormat="0" applyAlignment="0" applyProtection="0"/>
    <xf numFmtId="0" fontId="60" fillId="45" borderId="1" applyNumberFormat="0" applyAlignment="0" applyProtection="0"/>
    <xf numFmtId="0" fontId="5" fillId="4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5" applyNumberFormat="0" applyFill="0" applyAlignment="0" applyProtection="0"/>
    <xf numFmtId="0" fontId="6" fillId="0" borderId="6" applyNumberFormat="0" applyFill="0" applyAlignment="0" applyProtection="0"/>
    <xf numFmtId="0" fontId="62" fillId="0" borderId="7" applyNumberFormat="0" applyFill="0" applyAlignment="0" applyProtection="0"/>
    <xf numFmtId="0" fontId="7" fillId="0" borderId="8" applyNumberFormat="0" applyFill="0" applyAlignment="0" applyProtection="0"/>
    <xf numFmtId="0" fontId="63" fillId="0" borderId="9" applyNumberFormat="0" applyFill="0" applyAlignment="0" applyProtection="0"/>
    <xf numFmtId="0" fontId="8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9" fillId="0" borderId="12" applyNumberFormat="0" applyFill="0" applyAlignment="0" applyProtection="0"/>
    <xf numFmtId="0" fontId="65" fillId="47" borderId="13" applyNumberFormat="0" applyAlignment="0" applyProtection="0"/>
    <xf numFmtId="0" fontId="10" fillId="48" borderId="14" applyNumberFormat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51" borderId="0" applyNumberFormat="0" applyBorder="0" applyAlignment="0" applyProtection="0"/>
    <xf numFmtId="0" fontId="14" fillId="5" borderId="0" applyNumberFormat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9" fontId="0" fillId="0" borderId="0" applyFill="0" applyBorder="0" applyAlignment="0" applyProtection="0"/>
    <xf numFmtId="0" fontId="70" fillId="0" borderId="17" applyNumberFormat="0" applyFill="0" applyAlignment="0" applyProtection="0"/>
    <xf numFmtId="0" fontId="16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72" fillId="54" borderId="0" applyNumberFormat="0" applyBorder="0" applyAlignment="0" applyProtection="0"/>
    <xf numFmtId="0" fontId="18" fillId="7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166" fontId="21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7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wrapText="1"/>
    </xf>
    <xf numFmtId="0" fontId="27" fillId="0" borderId="19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5" fillId="0" borderId="19" xfId="0" applyFont="1" applyFill="1" applyBorder="1" applyAlignment="1">
      <alignment wrapText="1"/>
    </xf>
    <xf numFmtId="2" fontId="26" fillId="0" borderId="19" xfId="0" applyNumberFormat="1" applyFont="1" applyFill="1" applyBorder="1" applyAlignment="1">
      <alignment horizontal="center" vertical="center" wrapText="1"/>
    </xf>
    <xf numFmtId="2" fontId="26" fillId="0" borderId="19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wrapText="1"/>
    </xf>
    <xf numFmtId="2" fontId="27" fillId="0" borderId="19" xfId="0" applyNumberFormat="1" applyFont="1" applyFill="1" applyBorder="1" applyAlignment="1">
      <alignment horizontal="center" vertical="center" wrapText="1"/>
    </xf>
    <xf numFmtId="2" fontId="27" fillId="0" borderId="19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0" fillId="0" borderId="19" xfId="0" applyFont="1" applyFill="1" applyBorder="1" applyAlignment="1">
      <alignment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/>
    </xf>
    <xf numFmtId="0" fontId="0" fillId="55" borderId="0" xfId="0" applyFill="1" applyAlignment="1">
      <alignment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5" fillId="0" borderId="20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8" fillId="0" borderId="19" xfId="0" applyNumberFormat="1" applyFont="1" applyFill="1" applyBorder="1" applyAlignment="1">
      <alignment horizontal="center" wrapText="1"/>
    </xf>
    <xf numFmtId="0" fontId="25" fillId="0" borderId="19" xfId="0" applyFont="1" applyFill="1" applyBorder="1" applyAlignment="1">
      <alignment vertical="center" wrapText="1"/>
    </xf>
    <xf numFmtId="0" fontId="36" fillId="0" borderId="19" xfId="0" applyFont="1" applyFill="1" applyBorder="1" applyAlignment="1">
      <alignment horizontal="center" wrapText="1"/>
    </xf>
    <xf numFmtId="2" fontId="36" fillId="0" borderId="19" xfId="0" applyNumberFormat="1" applyFont="1" applyFill="1" applyBorder="1" applyAlignment="1">
      <alignment horizontal="center" vertical="center" wrapText="1"/>
    </xf>
    <xf numFmtId="167" fontId="36" fillId="0" borderId="19" xfId="0" applyNumberFormat="1" applyFont="1" applyFill="1" applyBorder="1" applyAlignment="1">
      <alignment horizontal="center" vertical="center" wrapText="1"/>
    </xf>
    <xf numFmtId="168" fontId="36" fillId="0" borderId="19" xfId="0" applyNumberFormat="1" applyFont="1" applyFill="1" applyBorder="1" applyAlignment="1">
      <alignment horizontal="center" vertical="center" wrapText="1"/>
    </xf>
    <xf numFmtId="2" fontId="29" fillId="0" borderId="19" xfId="0" applyNumberFormat="1" applyFont="1" applyFill="1" applyBorder="1" applyAlignment="1">
      <alignment horizontal="center" vertical="center"/>
    </xf>
    <xf numFmtId="168" fontId="29" fillId="0" borderId="19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Alignment="1">
      <alignment/>
    </xf>
    <xf numFmtId="0" fontId="28" fillId="0" borderId="19" xfId="0" applyFont="1" applyFill="1" applyBorder="1" applyAlignment="1">
      <alignment horizontal="center" wrapText="1"/>
    </xf>
    <xf numFmtId="2" fontId="28" fillId="0" borderId="19" xfId="0" applyNumberFormat="1" applyFont="1" applyFill="1" applyBorder="1" applyAlignment="1">
      <alignment horizontal="center" vertical="center" wrapText="1"/>
    </xf>
    <xf numFmtId="167" fontId="28" fillId="0" borderId="19" xfId="0" applyNumberFormat="1" applyFont="1" applyFill="1" applyBorder="1" applyAlignment="1">
      <alignment horizontal="center" vertical="center" wrapText="1"/>
    </xf>
    <xf numFmtId="168" fontId="28" fillId="0" borderId="19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/>
    </xf>
    <xf numFmtId="168" fontId="37" fillId="0" borderId="19" xfId="0" applyNumberFormat="1" applyFont="1" applyFill="1" applyBorder="1" applyAlignment="1">
      <alignment horizontal="center" vertical="center" wrapText="1"/>
    </xf>
    <xf numFmtId="2" fontId="37" fillId="0" borderId="19" xfId="0" applyNumberFormat="1" applyFont="1" applyFill="1" applyBorder="1" applyAlignment="1">
      <alignment horizontal="center" vertical="center" wrapText="1"/>
    </xf>
    <xf numFmtId="168" fontId="28" fillId="0" borderId="22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vertical="center" wrapText="1"/>
    </xf>
    <xf numFmtId="168" fontId="28" fillId="55" borderId="22" xfId="0" applyNumberFormat="1" applyFont="1" applyFill="1" applyBorder="1" applyAlignment="1">
      <alignment horizontal="center" vertical="center" wrapText="1"/>
    </xf>
    <xf numFmtId="2" fontId="19" fillId="55" borderId="19" xfId="0" applyNumberFormat="1" applyFont="1" applyFill="1" applyBorder="1" applyAlignment="1">
      <alignment horizontal="center" vertical="center"/>
    </xf>
    <xf numFmtId="168" fontId="37" fillId="55" borderId="19" xfId="0" applyNumberFormat="1" applyFont="1" applyFill="1" applyBorder="1" applyAlignment="1">
      <alignment horizontal="center" vertical="center" wrapText="1"/>
    </xf>
    <xf numFmtId="2" fontId="37" fillId="55" borderId="19" xfId="0" applyNumberFormat="1" applyFont="1" applyFill="1" applyBorder="1" applyAlignment="1">
      <alignment horizontal="center" vertical="center" wrapText="1"/>
    </xf>
    <xf numFmtId="2" fontId="29" fillId="55" borderId="0" xfId="0" applyNumberFormat="1" applyFont="1" applyFill="1" applyAlignment="1">
      <alignment/>
    </xf>
    <xf numFmtId="0" fontId="0" fillId="55" borderId="0" xfId="0" applyFont="1" applyFill="1" applyAlignment="1">
      <alignment wrapText="1"/>
    </xf>
    <xf numFmtId="0" fontId="0" fillId="55" borderId="0" xfId="0" applyFont="1" applyFill="1" applyAlignment="1">
      <alignment/>
    </xf>
    <xf numFmtId="168" fontId="36" fillId="0" borderId="22" xfId="0" applyNumberFormat="1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/>
    </xf>
    <xf numFmtId="2" fontId="36" fillId="0" borderId="22" xfId="0" applyNumberFormat="1" applyFont="1" applyFill="1" applyBorder="1" applyAlignment="1">
      <alignment horizontal="center" vertical="center" wrapText="1"/>
    </xf>
    <xf numFmtId="2" fontId="36" fillId="0" borderId="22" xfId="0" applyNumberFormat="1" applyFont="1" applyFill="1" applyBorder="1" applyAlignment="1">
      <alignment vertical="center" wrapText="1"/>
    </xf>
    <xf numFmtId="0" fontId="38" fillId="50" borderId="23" xfId="104" applyFont="1" applyFill="1" applyBorder="1" applyAlignment="1" applyProtection="1">
      <alignment horizontal="center" vertical="center" wrapText="1"/>
      <protection locked="0"/>
    </xf>
    <xf numFmtId="0" fontId="38" fillId="50" borderId="23" xfId="105" applyFont="1" applyFill="1" applyBorder="1" applyAlignment="1" applyProtection="1">
      <alignment horizontal="center" vertical="center" wrapText="1"/>
      <protection locked="0"/>
    </xf>
    <xf numFmtId="0" fontId="38" fillId="50" borderId="23" xfId="106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22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wrapText="1"/>
    </xf>
    <xf numFmtId="49" fontId="20" fillId="0" borderId="19" xfId="0" applyNumberFormat="1" applyFont="1" applyFill="1" applyBorder="1" applyAlignment="1">
      <alignment horizontal="center" wrapText="1"/>
    </xf>
    <xf numFmtId="2" fontId="32" fillId="0" borderId="19" xfId="0" applyNumberFormat="1" applyFont="1" applyFill="1" applyBorder="1" applyAlignment="1">
      <alignment horizontal="center" vertical="center" wrapText="1"/>
    </xf>
    <xf numFmtId="2" fontId="36" fillId="0" borderId="19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center" vertical="center"/>
    </xf>
    <xf numFmtId="2" fontId="25" fillId="0" borderId="19" xfId="0" applyNumberFormat="1" applyFont="1" applyFill="1" applyBorder="1" applyAlignment="1">
      <alignment horizontal="center" vertical="center"/>
    </xf>
    <xf numFmtId="2" fontId="36" fillId="55" borderId="19" xfId="0" applyNumberFormat="1" applyFont="1" applyFill="1" applyBorder="1" applyAlignment="1">
      <alignment horizontal="center" vertical="center" wrapText="1"/>
    </xf>
    <xf numFmtId="2" fontId="28" fillId="55" borderId="19" xfId="0" applyNumberFormat="1" applyFont="1" applyFill="1" applyBorder="1" applyAlignment="1">
      <alignment horizontal="center" vertical="center" wrapText="1"/>
    </xf>
    <xf numFmtId="2" fontId="28" fillId="23" borderId="19" xfId="0" applyNumberFormat="1" applyFont="1" applyFill="1" applyBorder="1" applyAlignment="1">
      <alignment horizontal="center" vertical="center" wrapText="1"/>
    </xf>
    <xf numFmtId="167" fontId="28" fillId="31" borderId="19" xfId="0" applyNumberFormat="1" applyFont="1" applyFill="1" applyBorder="1" applyAlignment="1">
      <alignment horizontal="center" vertical="center" wrapText="1"/>
    </xf>
    <xf numFmtId="2" fontId="36" fillId="23" borderId="19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left"/>
    </xf>
    <xf numFmtId="0" fontId="40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2" fontId="24" fillId="0" borderId="0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/>
    </xf>
    <xf numFmtId="168" fontId="32" fillId="0" borderId="19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/>
    </xf>
    <xf numFmtId="1" fontId="32" fillId="0" borderId="19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wrapText="1"/>
    </xf>
    <xf numFmtId="0" fontId="28" fillId="0" borderId="24" xfId="0" applyFont="1" applyFill="1" applyBorder="1" applyAlignment="1">
      <alignment wrapText="1"/>
    </xf>
    <xf numFmtId="2" fontId="28" fillId="0" borderId="24" xfId="0" applyNumberFormat="1" applyFont="1" applyFill="1" applyBorder="1" applyAlignment="1">
      <alignment horizontal="right" wrapText="1"/>
    </xf>
    <xf numFmtId="1" fontId="37" fillId="0" borderId="24" xfId="0" applyNumberFormat="1" applyFont="1" applyFill="1" applyBorder="1" applyAlignment="1">
      <alignment horizontal="right" wrapText="1"/>
    </xf>
    <xf numFmtId="49" fontId="28" fillId="0" borderId="19" xfId="0" applyNumberFormat="1" applyFont="1" applyFill="1" applyBorder="1" applyAlignment="1">
      <alignment horizontal="center" wrapText="1"/>
    </xf>
    <xf numFmtId="0" fontId="28" fillId="0" borderId="19" xfId="0" applyFont="1" applyFill="1" applyBorder="1" applyAlignment="1">
      <alignment wrapText="1"/>
    </xf>
    <xf numFmtId="2" fontId="28" fillId="0" borderId="19" xfId="0" applyNumberFormat="1" applyFont="1" applyFill="1" applyBorder="1" applyAlignment="1">
      <alignment horizontal="right" wrapText="1"/>
    </xf>
    <xf numFmtId="1" fontId="37" fillId="0" borderId="19" xfId="0" applyNumberFormat="1" applyFont="1" applyFill="1" applyBorder="1" applyAlignment="1">
      <alignment horizontal="right" wrapText="1"/>
    </xf>
    <xf numFmtId="49" fontId="39" fillId="0" borderId="19" xfId="0" applyNumberFormat="1" applyFont="1" applyFill="1" applyBorder="1" applyAlignment="1">
      <alignment horizontal="center" wrapText="1"/>
    </xf>
    <xf numFmtId="1" fontId="39" fillId="0" borderId="19" xfId="0" applyNumberFormat="1" applyFont="1" applyFill="1" applyBorder="1" applyAlignment="1">
      <alignment horizontal="center" wrapText="1"/>
    </xf>
    <xf numFmtId="0" fontId="39" fillId="0" borderId="25" xfId="0" applyFont="1" applyFill="1" applyBorder="1" applyAlignment="1">
      <alignment horizontal="center" wrapText="1"/>
    </xf>
    <xf numFmtId="0" fontId="39" fillId="0" borderId="25" xfId="0" applyFont="1" applyFill="1" applyBorder="1" applyAlignment="1">
      <alignment wrapText="1"/>
    </xf>
    <xf numFmtId="2" fontId="39" fillId="0" borderId="25" xfId="0" applyNumberFormat="1" applyFont="1" applyFill="1" applyBorder="1" applyAlignment="1">
      <alignment horizontal="right" wrapText="1"/>
    </xf>
    <xf numFmtId="1" fontId="39" fillId="0" borderId="25" xfId="0" applyNumberFormat="1" applyFont="1" applyFill="1" applyBorder="1" applyAlignment="1">
      <alignment horizontal="right" wrapText="1"/>
    </xf>
    <xf numFmtId="0" fontId="25" fillId="0" borderId="19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 wrapText="1"/>
    </xf>
    <xf numFmtId="0" fontId="37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42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169" fontId="36" fillId="0" borderId="19" xfId="0" applyNumberFormat="1" applyFont="1" applyFill="1" applyBorder="1" applyAlignment="1">
      <alignment horizontal="center" vertical="center" wrapText="1"/>
    </xf>
    <xf numFmtId="4" fontId="36" fillId="0" borderId="19" xfId="0" applyNumberFormat="1" applyFont="1" applyFill="1" applyBorder="1" applyAlignment="1">
      <alignment horizontal="center" vertical="center"/>
    </xf>
    <xf numFmtId="169" fontId="36" fillId="0" borderId="19" xfId="0" applyNumberFormat="1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 vertical="center"/>
    </xf>
    <xf numFmtId="169" fontId="28" fillId="0" borderId="19" xfId="0" applyNumberFormat="1" applyFont="1" applyFill="1" applyBorder="1" applyAlignment="1">
      <alignment horizontal="center" vertical="center" wrapText="1"/>
    </xf>
    <xf numFmtId="4" fontId="28" fillId="0" borderId="19" xfId="0" applyNumberFormat="1" applyFont="1" applyFill="1" applyBorder="1" applyAlignment="1">
      <alignment horizontal="center" vertical="center"/>
    </xf>
    <xf numFmtId="169" fontId="28" fillId="0" borderId="19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wrapText="1"/>
    </xf>
    <xf numFmtId="1" fontId="36" fillId="0" borderId="19" xfId="0" applyNumberFormat="1" applyFont="1" applyFill="1" applyBorder="1" applyAlignment="1">
      <alignment horizontal="center" wrapText="1"/>
    </xf>
    <xf numFmtId="1" fontId="36" fillId="0" borderId="19" xfId="0" applyNumberFormat="1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43" fillId="0" borderId="0" xfId="90" applyFont="1" applyFill="1">
      <alignment/>
      <protection/>
    </xf>
    <xf numFmtId="0" fontId="28" fillId="0" borderId="0" xfId="90" applyFont="1" applyFill="1">
      <alignment/>
      <protection/>
    </xf>
    <xf numFmtId="0" fontId="22" fillId="0" borderId="0" xfId="90" applyFont="1" applyFill="1" applyBorder="1" applyAlignment="1">
      <alignment vertical="center"/>
      <protection/>
    </xf>
    <xf numFmtId="0" fontId="30" fillId="0" borderId="0" xfId="90" applyFont="1" applyFill="1" applyBorder="1" applyAlignment="1">
      <alignment vertical="center"/>
      <protection/>
    </xf>
    <xf numFmtId="0" fontId="44" fillId="0" borderId="0" xfId="90" applyFont="1" applyFill="1">
      <alignment/>
      <protection/>
    </xf>
    <xf numFmtId="0" fontId="22" fillId="0" borderId="0" xfId="90" applyFont="1" applyFill="1" applyAlignment="1">
      <alignment/>
      <protection/>
    </xf>
    <xf numFmtId="0" fontId="30" fillId="0" borderId="0" xfId="90" applyFont="1" applyFill="1" applyAlignment="1">
      <alignment/>
      <protection/>
    </xf>
    <xf numFmtId="0" fontId="21" fillId="0" borderId="0" xfId="0" applyFont="1" applyFill="1" applyAlignment="1">
      <alignment/>
    </xf>
    <xf numFmtId="0" fontId="28" fillId="0" borderId="0" xfId="90" applyFont="1" applyFill="1">
      <alignment/>
      <protection/>
    </xf>
    <xf numFmtId="0" fontId="28" fillId="0" borderId="0" xfId="90" applyFont="1" applyFill="1" applyBorder="1" applyAlignment="1">
      <alignment horizontal="center"/>
      <protection/>
    </xf>
    <xf numFmtId="0" fontId="25" fillId="0" borderId="0" xfId="90" applyFont="1" applyFill="1" applyAlignment="1">
      <alignment horizontal="right"/>
      <protection/>
    </xf>
    <xf numFmtId="0" fontId="37" fillId="0" borderId="19" xfId="90" applyFont="1" applyFill="1" applyBorder="1" applyAlignment="1">
      <alignment horizontal="center" vertical="center" wrapText="1"/>
      <protection/>
    </xf>
    <xf numFmtId="0" fontId="28" fillId="0" borderId="26" xfId="90" applyFont="1" applyFill="1" applyBorder="1" applyAlignment="1">
      <alignment horizontal="center" wrapText="1"/>
      <protection/>
    </xf>
    <xf numFmtId="0" fontId="28" fillId="0" borderId="25" xfId="90" applyFont="1" applyFill="1" applyBorder="1" applyAlignment="1">
      <alignment horizontal="center" wrapText="1"/>
      <protection/>
    </xf>
    <xf numFmtId="0" fontId="43" fillId="0" borderId="25" xfId="90" applyFont="1" applyFill="1" applyBorder="1" applyAlignment="1">
      <alignment horizontal="center"/>
      <protection/>
    </xf>
    <xf numFmtId="1" fontId="20" fillId="0" borderId="19" xfId="90" applyNumberFormat="1" applyFont="1" applyFill="1" applyBorder="1" applyAlignment="1">
      <alignment horizontal="center" wrapText="1"/>
      <protection/>
    </xf>
    <xf numFmtId="2" fontId="45" fillId="0" borderId="19" xfId="90" applyNumberFormat="1" applyFont="1" applyFill="1" applyBorder="1" applyAlignment="1">
      <alignment wrapText="1"/>
      <protection/>
    </xf>
    <xf numFmtId="2" fontId="36" fillId="0" borderId="19" xfId="90" applyNumberFormat="1" applyFont="1" applyFill="1" applyBorder="1" applyAlignment="1">
      <alignment horizontal="center" vertical="center" wrapText="1"/>
      <protection/>
    </xf>
    <xf numFmtId="2" fontId="43" fillId="0" borderId="19" xfId="90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1" fontId="25" fillId="0" borderId="19" xfId="90" applyNumberFormat="1" applyFont="1" applyFill="1" applyBorder="1" applyAlignment="1">
      <alignment horizontal="center" wrapText="1"/>
      <protection/>
    </xf>
    <xf numFmtId="2" fontId="46" fillId="0" borderId="19" xfId="90" applyNumberFormat="1" applyFont="1" applyFill="1" applyBorder="1" applyAlignment="1">
      <alignment wrapText="1"/>
      <protection/>
    </xf>
    <xf numFmtId="2" fontId="25" fillId="0" borderId="19" xfId="90" applyNumberFormat="1" applyFont="1" applyFill="1" applyBorder="1" applyAlignment="1">
      <alignment horizontal="center" wrapText="1"/>
      <protection/>
    </xf>
    <xf numFmtId="2" fontId="36" fillId="0" borderId="19" xfId="90" applyNumberFormat="1" applyFont="1" applyFill="1" applyBorder="1" applyAlignment="1">
      <alignment horizontal="center" wrapText="1"/>
      <protection/>
    </xf>
    <xf numFmtId="2" fontId="20" fillId="0" borderId="19" xfId="90" applyNumberFormat="1" applyFont="1" applyFill="1" applyBorder="1" applyAlignment="1">
      <alignment horizontal="center" wrapText="1"/>
      <protection/>
    </xf>
    <xf numFmtId="2" fontId="28" fillId="0" borderId="19" xfId="90" applyNumberFormat="1" applyFont="1" applyFill="1" applyBorder="1" applyAlignment="1">
      <alignment horizontal="center" vertical="center" wrapText="1"/>
      <protection/>
    </xf>
    <xf numFmtId="2" fontId="28" fillId="0" borderId="19" xfId="90" applyNumberFormat="1" applyFont="1" applyFill="1" applyBorder="1" applyAlignment="1">
      <alignment horizontal="right" wrapText="1"/>
      <protection/>
    </xf>
    <xf numFmtId="2" fontId="46" fillId="0" borderId="19" xfId="90" applyNumberFormat="1" applyFont="1" applyFill="1" applyBorder="1" applyAlignment="1">
      <alignment vertical="center" wrapText="1"/>
      <protection/>
    </xf>
    <xf numFmtId="2" fontId="47" fillId="0" borderId="19" xfId="90" applyNumberFormat="1" applyFont="1" applyFill="1" applyBorder="1" applyAlignment="1">
      <alignment horizontal="center" vertical="center" wrapText="1"/>
      <protection/>
    </xf>
    <xf numFmtId="2" fontId="48" fillId="0" borderId="19" xfId="90" applyNumberFormat="1" applyFont="1" applyFill="1" applyBorder="1" applyAlignment="1">
      <alignment horizontal="center" vertical="center" wrapText="1"/>
      <protection/>
    </xf>
    <xf numFmtId="2" fontId="28" fillId="0" borderId="19" xfId="90" applyNumberFormat="1" applyFont="1" applyFill="1" applyBorder="1" applyAlignment="1">
      <alignment horizontal="center" wrapText="1"/>
      <protection/>
    </xf>
    <xf numFmtId="2" fontId="28" fillId="0" borderId="19" xfId="90" applyNumberFormat="1" applyFont="1" applyFill="1" applyBorder="1" applyAlignment="1">
      <alignment wrapText="1"/>
      <protection/>
    </xf>
    <xf numFmtId="2" fontId="48" fillId="0" borderId="19" xfId="90" applyNumberFormat="1" applyFont="1" applyFill="1" applyBorder="1" applyAlignment="1">
      <alignment horizontal="center" wrapText="1"/>
      <protection/>
    </xf>
    <xf numFmtId="2" fontId="43" fillId="0" borderId="19" xfId="90" applyNumberFormat="1" applyFont="1" applyFill="1" applyBorder="1" applyAlignment="1">
      <alignment horizontal="center"/>
      <protection/>
    </xf>
    <xf numFmtId="2" fontId="43" fillId="0" borderId="19" xfId="90" applyNumberFormat="1" applyFont="1" applyFill="1" applyBorder="1">
      <alignment/>
      <protection/>
    </xf>
    <xf numFmtId="49" fontId="28" fillId="0" borderId="24" xfId="90" applyNumberFormat="1" applyFont="1" applyFill="1" applyBorder="1" applyAlignment="1">
      <alignment horizontal="center" wrapText="1"/>
      <protection/>
    </xf>
    <xf numFmtId="0" fontId="28" fillId="0" borderId="24" xfId="90" applyFont="1" applyFill="1" applyBorder="1" applyAlignment="1">
      <alignment wrapText="1"/>
      <protection/>
    </xf>
    <xf numFmtId="168" fontId="28" fillId="0" borderId="24" xfId="90" applyNumberFormat="1" applyFont="1" applyFill="1" applyBorder="1" applyAlignment="1">
      <alignment horizontal="right" wrapText="1"/>
      <protection/>
    </xf>
    <xf numFmtId="0" fontId="43" fillId="0" borderId="0" xfId="90" applyFont="1" applyFill="1" applyBorder="1">
      <alignment/>
      <protection/>
    </xf>
    <xf numFmtId="0" fontId="24" fillId="0" borderId="0" xfId="90" applyFont="1" applyFill="1">
      <alignment/>
      <protection/>
    </xf>
    <xf numFmtId="0" fontId="30" fillId="0" borderId="0" xfId="90" applyFont="1" applyFill="1">
      <alignment/>
      <protection/>
    </xf>
    <xf numFmtId="0" fontId="0" fillId="0" borderId="0" xfId="91">
      <alignment/>
      <protection/>
    </xf>
    <xf numFmtId="0" fontId="20" fillId="0" borderId="0" xfId="91" applyFont="1" applyFill="1" applyBorder="1" applyAlignment="1">
      <alignment vertical="center"/>
      <protection/>
    </xf>
    <xf numFmtId="0" fontId="37" fillId="0" borderId="0" xfId="91" applyFont="1" applyFill="1" applyBorder="1" applyAlignment="1">
      <alignment vertical="center"/>
      <protection/>
    </xf>
    <xf numFmtId="0" fontId="19" fillId="0" borderId="0" xfId="91" applyFont="1" applyFill="1">
      <alignment/>
      <protection/>
    </xf>
    <xf numFmtId="0" fontId="20" fillId="0" borderId="0" xfId="91" applyFont="1" applyFill="1" applyBorder="1" applyAlignment="1">
      <alignment horizontal="right" vertical="center"/>
      <protection/>
    </xf>
    <xf numFmtId="0" fontId="20" fillId="0" borderId="0" xfId="91" applyFont="1" applyFill="1" applyAlignment="1">
      <alignment wrapText="1"/>
      <protection/>
    </xf>
    <xf numFmtId="0" fontId="19" fillId="0" borderId="0" xfId="91" applyFont="1" applyFill="1" applyAlignment="1">
      <alignment wrapText="1"/>
      <protection/>
    </xf>
    <xf numFmtId="0" fontId="20" fillId="0" borderId="0" xfId="91" applyFont="1" applyFill="1" applyAlignment="1">
      <alignment/>
      <protection/>
    </xf>
    <xf numFmtId="0" fontId="19" fillId="0" borderId="0" xfId="91" applyFont="1" applyFill="1" applyAlignment="1">
      <alignment/>
      <protection/>
    </xf>
    <xf numFmtId="0" fontId="20" fillId="0" borderId="19" xfId="91" applyFont="1" applyBorder="1" applyAlignment="1">
      <alignment horizontal="center" vertical="center" wrapText="1"/>
      <protection/>
    </xf>
    <xf numFmtId="0" fontId="20" fillId="0" borderId="19" xfId="91" applyFont="1" applyBorder="1" applyAlignment="1">
      <alignment horizontal="left" vertical="center" wrapText="1"/>
      <protection/>
    </xf>
    <xf numFmtId="3" fontId="20" fillId="0" borderId="19" xfId="91" applyNumberFormat="1" applyFont="1" applyBorder="1" applyAlignment="1">
      <alignment horizontal="center" vertical="center" wrapText="1"/>
      <protection/>
    </xf>
    <xf numFmtId="0" fontId="28" fillId="0" borderId="0" xfId="91" applyFont="1" applyFill="1" applyBorder="1" applyAlignment="1">
      <alignment wrapText="1"/>
      <protection/>
    </xf>
    <xf numFmtId="0" fontId="49" fillId="0" borderId="0" xfId="91" applyFont="1" applyAlignment="1">
      <alignment/>
      <protection/>
    </xf>
    <xf numFmtId="0" fontId="23" fillId="0" borderId="0" xfId="0" applyFont="1" applyFill="1" applyBorder="1" applyAlignment="1">
      <alignment/>
    </xf>
    <xf numFmtId="0" fontId="50" fillId="0" borderId="0" xfId="91" applyFont="1" applyFill="1" applyAlignment="1">
      <alignment horizontal="left"/>
      <protection/>
    </xf>
    <xf numFmtId="2" fontId="19" fillId="56" borderId="0" xfId="91" applyNumberFormat="1" applyFont="1" applyFill="1" applyAlignment="1">
      <alignment horizontal="right"/>
      <protection/>
    </xf>
    <xf numFmtId="0" fontId="51" fillId="56" borderId="0" xfId="91" applyFont="1" applyFill="1">
      <alignment/>
      <protection/>
    </xf>
    <xf numFmtId="0" fontId="19" fillId="56" borderId="0" xfId="91" applyFont="1" applyFill="1">
      <alignment/>
      <protection/>
    </xf>
    <xf numFmtId="0" fontId="49" fillId="0" borderId="0" xfId="91" applyFont="1" applyAlignment="1">
      <alignment wrapText="1"/>
      <protection/>
    </xf>
    <xf numFmtId="0" fontId="0" fillId="0" borderId="0" xfId="91" applyFill="1">
      <alignment/>
      <protection/>
    </xf>
    <xf numFmtId="0" fontId="43" fillId="0" borderId="0" xfId="0" applyFont="1" applyFill="1" applyAlignment="1">
      <alignment/>
    </xf>
    <xf numFmtId="0" fontId="43" fillId="56" borderId="0" xfId="0" applyFont="1" applyFill="1" applyAlignment="1">
      <alignment/>
    </xf>
    <xf numFmtId="0" fontId="28" fillId="56" borderId="0" xfId="0" applyFont="1" applyFill="1" applyAlignment="1">
      <alignment/>
    </xf>
    <xf numFmtId="0" fontId="22" fillId="56" borderId="0" xfId="0" applyFont="1" applyFill="1" applyBorder="1" applyAlignment="1">
      <alignment vertical="center"/>
    </xf>
    <xf numFmtId="0" fontId="30" fillId="56" borderId="0" xfId="0" applyFont="1" applyFill="1" applyBorder="1" applyAlignment="1">
      <alignment vertical="center"/>
    </xf>
    <xf numFmtId="0" fontId="44" fillId="56" borderId="0" xfId="0" applyFont="1" applyFill="1" applyAlignment="1">
      <alignment/>
    </xf>
    <xf numFmtId="0" fontId="4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56" borderId="0" xfId="0" applyFont="1" applyFill="1" applyBorder="1" applyAlignment="1">
      <alignment horizontal="center"/>
    </xf>
    <xf numFmtId="0" fontId="25" fillId="56" borderId="0" xfId="0" applyFont="1" applyFill="1" applyAlignment="1">
      <alignment horizontal="right"/>
    </xf>
    <xf numFmtId="0" fontId="37" fillId="0" borderId="19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wrapText="1"/>
    </xf>
    <xf numFmtId="0" fontId="28" fillId="0" borderId="25" xfId="0" applyFont="1" applyFill="1" applyBorder="1" applyAlignment="1">
      <alignment horizontal="center" wrapText="1"/>
    </xf>
    <xf numFmtId="0" fontId="28" fillId="56" borderId="25" xfId="0" applyFont="1" applyFill="1" applyBorder="1" applyAlignment="1">
      <alignment horizontal="center" wrapText="1"/>
    </xf>
    <xf numFmtId="0" fontId="43" fillId="56" borderId="25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wrapText="1"/>
    </xf>
    <xf numFmtId="0" fontId="45" fillId="0" borderId="19" xfId="0" applyFont="1" applyFill="1" applyBorder="1" applyAlignment="1">
      <alignment wrapText="1"/>
    </xf>
    <xf numFmtId="2" fontId="36" fillId="3" borderId="19" xfId="0" applyNumberFormat="1" applyFont="1" applyFill="1" applyBorder="1" applyAlignment="1">
      <alignment horizontal="center" vertical="center" wrapText="1"/>
    </xf>
    <xf numFmtId="1" fontId="36" fillId="0" borderId="19" xfId="0" applyNumberFormat="1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1" fontId="28" fillId="0" borderId="19" xfId="0" applyNumberFormat="1" applyFont="1" applyFill="1" applyBorder="1" applyAlignment="1">
      <alignment horizontal="center" vertical="center" wrapText="1"/>
    </xf>
    <xf numFmtId="170" fontId="36" fillId="3" borderId="19" xfId="0" applyNumberFormat="1" applyFont="1" applyFill="1" applyBorder="1" applyAlignment="1">
      <alignment horizontal="center" vertical="center" wrapText="1"/>
    </xf>
    <xf numFmtId="170" fontId="36" fillId="0" borderId="19" xfId="0" applyNumberFormat="1" applyFont="1" applyFill="1" applyBorder="1" applyAlignment="1">
      <alignment horizontal="center" vertical="center" wrapText="1"/>
    </xf>
    <xf numFmtId="170" fontId="28" fillId="0" borderId="19" xfId="0" applyNumberFormat="1" applyFont="1" applyFill="1" applyBorder="1" applyAlignment="1">
      <alignment horizontal="center" vertical="center" wrapText="1"/>
    </xf>
    <xf numFmtId="2" fontId="46" fillId="0" borderId="19" xfId="0" applyNumberFormat="1" applyFont="1" applyFill="1" applyBorder="1" applyAlignment="1">
      <alignment wrapText="1"/>
    </xf>
    <xf numFmtId="0" fontId="46" fillId="0" borderId="19" xfId="0" applyFont="1" applyFill="1" applyBorder="1" applyAlignment="1">
      <alignment wrapText="1"/>
    </xf>
    <xf numFmtId="168" fontId="36" fillId="3" borderId="19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2" fontId="50" fillId="0" borderId="0" xfId="0" applyNumberFormat="1" applyFont="1" applyFill="1" applyAlignment="1">
      <alignment/>
    </xf>
    <xf numFmtId="168" fontId="36" fillId="3" borderId="19" xfId="0" applyNumberFormat="1" applyFont="1" applyFill="1" applyBorder="1" applyAlignment="1">
      <alignment horizontal="right" wrapText="1"/>
    </xf>
    <xf numFmtId="2" fontId="45" fillId="0" borderId="19" xfId="0" applyNumberFormat="1" applyFont="1" applyFill="1" applyBorder="1" applyAlignment="1">
      <alignment wrapText="1"/>
    </xf>
    <xf numFmtId="2" fontId="28" fillId="3" borderId="19" xfId="0" applyNumberFormat="1" applyFont="1" applyFill="1" applyBorder="1" applyAlignment="1">
      <alignment horizontal="center" vertical="center" wrapText="1"/>
    </xf>
    <xf numFmtId="168" fontId="28" fillId="3" borderId="19" xfId="0" applyNumberFormat="1" applyFont="1" applyFill="1" applyBorder="1" applyAlignment="1">
      <alignment horizontal="center" vertical="center" wrapText="1"/>
    </xf>
    <xf numFmtId="2" fontId="28" fillId="3" borderId="19" xfId="0" applyNumberFormat="1" applyFont="1" applyFill="1" applyBorder="1" applyAlignment="1">
      <alignment horizontal="right" wrapText="1"/>
    </xf>
    <xf numFmtId="2" fontId="28" fillId="55" borderId="19" xfId="0" applyNumberFormat="1" applyFont="1" applyFill="1" applyBorder="1" applyAlignment="1">
      <alignment horizontal="right" wrapText="1"/>
    </xf>
    <xf numFmtId="2" fontId="46" fillId="0" borderId="19" xfId="0" applyNumberFormat="1" applyFont="1" applyFill="1" applyBorder="1" applyAlignment="1">
      <alignment vertical="center" wrapText="1"/>
    </xf>
    <xf numFmtId="2" fontId="47" fillId="0" borderId="19" xfId="0" applyNumberFormat="1" applyFont="1" applyFill="1" applyBorder="1" applyAlignment="1">
      <alignment horizontal="center" vertical="center" wrapText="1"/>
    </xf>
    <xf numFmtId="2" fontId="47" fillId="3" borderId="19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vertical="center" wrapText="1"/>
    </xf>
    <xf numFmtId="2" fontId="48" fillId="0" borderId="19" xfId="0" applyNumberFormat="1" applyFont="1" applyFill="1" applyBorder="1" applyAlignment="1">
      <alignment horizontal="center" vertical="center" wrapText="1"/>
    </xf>
    <xf numFmtId="2" fontId="48" fillId="3" borderId="19" xfId="0" applyNumberFormat="1" applyFont="1" applyFill="1" applyBorder="1" applyAlignment="1">
      <alignment horizontal="center" vertical="center" wrapText="1"/>
    </xf>
    <xf numFmtId="2" fontId="28" fillId="0" borderId="19" xfId="0" applyNumberFormat="1" applyFont="1" applyFill="1" applyBorder="1" applyAlignment="1">
      <alignment horizontal="center" wrapText="1"/>
    </xf>
    <xf numFmtId="2" fontId="28" fillId="0" borderId="19" xfId="0" applyNumberFormat="1" applyFont="1" applyFill="1" applyBorder="1" applyAlignment="1">
      <alignment wrapText="1"/>
    </xf>
    <xf numFmtId="2" fontId="48" fillId="0" borderId="19" xfId="0" applyNumberFormat="1" applyFont="1" applyFill="1" applyBorder="1" applyAlignment="1">
      <alignment horizontal="center" wrapText="1"/>
    </xf>
    <xf numFmtId="2" fontId="48" fillId="56" borderId="19" xfId="0" applyNumberFormat="1" applyFont="1" applyFill="1" applyBorder="1" applyAlignment="1">
      <alignment horizontal="center" wrapText="1"/>
    </xf>
    <xf numFmtId="2" fontId="28" fillId="3" borderId="19" xfId="0" applyNumberFormat="1" applyFont="1" applyFill="1" applyBorder="1" applyAlignment="1">
      <alignment horizontal="center" wrapText="1"/>
    </xf>
    <xf numFmtId="2" fontId="43" fillId="56" borderId="19" xfId="0" applyNumberFormat="1" applyFont="1" applyFill="1" applyBorder="1" applyAlignment="1">
      <alignment horizontal="center"/>
    </xf>
    <xf numFmtId="2" fontId="48" fillId="3" borderId="19" xfId="0" applyNumberFormat="1" applyFont="1" applyFill="1" applyBorder="1" applyAlignment="1">
      <alignment horizontal="center" wrapText="1"/>
    </xf>
    <xf numFmtId="0" fontId="43" fillId="3" borderId="19" xfId="0" applyFont="1" applyFill="1" applyBorder="1" applyAlignment="1">
      <alignment horizontal="center"/>
    </xf>
    <xf numFmtId="2" fontId="28" fillId="56" borderId="19" xfId="0" applyNumberFormat="1" applyFont="1" applyFill="1" applyBorder="1" applyAlignment="1">
      <alignment horizontal="center" wrapText="1"/>
    </xf>
    <xf numFmtId="2" fontId="43" fillId="56" borderId="19" xfId="0" applyNumberFormat="1" applyFont="1" applyFill="1" applyBorder="1" applyAlignment="1">
      <alignment/>
    </xf>
    <xf numFmtId="0" fontId="43" fillId="3" borderId="19" xfId="0" applyFont="1" applyFill="1" applyBorder="1" applyAlignment="1">
      <alignment/>
    </xf>
    <xf numFmtId="168" fontId="28" fillId="3" borderId="19" xfId="0" applyNumberFormat="1" applyFont="1" applyFill="1" applyBorder="1" applyAlignment="1">
      <alignment horizontal="center" wrapText="1"/>
    </xf>
    <xf numFmtId="168" fontId="28" fillId="0" borderId="24" xfId="0" applyNumberFormat="1" applyFont="1" applyFill="1" applyBorder="1" applyAlignment="1">
      <alignment horizontal="right" wrapText="1"/>
    </xf>
    <xf numFmtId="168" fontId="28" fillId="56" borderId="24" xfId="0" applyNumberFormat="1" applyFont="1" applyFill="1" applyBorder="1" applyAlignment="1">
      <alignment horizontal="right" wrapText="1"/>
    </xf>
    <xf numFmtId="0" fontId="43" fillId="56" borderId="0" xfId="0" applyFont="1" applyFill="1" applyBorder="1" applyAlignment="1">
      <alignment/>
    </xf>
    <xf numFmtId="2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8" fillId="56" borderId="0" xfId="0" applyFont="1" applyFill="1" applyAlignment="1">
      <alignment/>
    </xf>
    <xf numFmtId="0" fontId="37" fillId="56" borderId="0" xfId="0" applyFont="1" applyFill="1" applyAlignment="1">
      <alignment/>
    </xf>
    <xf numFmtId="0" fontId="0" fillId="56" borderId="0" xfId="0" applyFill="1" applyAlignment="1">
      <alignment/>
    </xf>
    <xf numFmtId="0" fontId="32" fillId="56" borderId="0" xfId="0" applyFont="1" applyFill="1" applyAlignment="1">
      <alignment/>
    </xf>
    <xf numFmtId="0" fontId="2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51" fillId="56" borderId="0" xfId="0" applyFont="1" applyFill="1" applyAlignment="1">
      <alignment/>
    </xf>
    <xf numFmtId="0" fontId="25" fillId="0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left" vertical="center" wrapText="1"/>
    </xf>
    <xf numFmtId="2" fontId="26" fillId="0" borderId="27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0" fontId="25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 horizontal="right" vertical="center"/>
    </xf>
    <xf numFmtId="0" fontId="23" fillId="0" borderId="28" xfId="0" applyFont="1" applyFill="1" applyBorder="1" applyAlignment="1">
      <alignment horizontal="left" wrapText="1"/>
    </xf>
    <xf numFmtId="0" fontId="23" fillId="0" borderId="28" xfId="0" applyFont="1" applyFill="1" applyBorder="1" applyAlignment="1">
      <alignment horizontal="right"/>
    </xf>
    <xf numFmtId="0" fontId="25" fillId="0" borderId="20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4" fillId="0" borderId="0" xfId="90" applyFont="1" applyFill="1" applyBorder="1" applyAlignment="1">
      <alignment horizontal="center" vertical="center" wrapText="1"/>
      <protection/>
    </xf>
    <xf numFmtId="0" fontId="25" fillId="0" borderId="19" xfId="90" applyFont="1" applyFill="1" applyBorder="1" applyAlignment="1">
      <alignment horizontal="center" vertical="center" wrapText="1"/>
      <protection/>
    </xf>
    <xf numFmtId="0" fontId="24" fillId="0" borderId="19" xfId="90" applyFont="1" applyFill="1" applyBorder="1" applyAlignment="1">
      <alignment horizontal="center" vertical="center" wrapText="1"/>
      <protection/>
    </xf>
    <xf numFmtId="0" fontId="24" fillId="0" borderId="29" xfId="90" applyFont="1" applyFill="1" applyBorder="1" applyAlignment="1">
      <alignment horizontal="center" vertical="center" wrapText="1"/>
      <protection/>
    </xf>
    <xf numFmtId="2" fontId="24" fillId="0" borderId="19" xfId="90" applyNumberFormat="1" applyFont="1" applyFill="1" applyBorder="1" applyAlignment="1">
      <alignment horizontal="center" wrapText="1"/>
      <protection/>
    </xf>
    <xf numFmtId="0" fontId="49" fillId="0" borderId="0" xfId="91" applyFont="1" applyBorder="1" applyAlignment="1">
      <alignment horizontal="center"/>
      <protection/>
    </xf>
    <xf numFmtId="0" fontId="49" fillId="0" borderId="0" xfId="91" applyFont="1" applyBorder="1" applyAlignment="1">
      <alignment horizontal="left" wrapText="1"/>
      <protection/>
    </xf>
    <xf numFmtId="2" fontId="24" fillId="0" borderId="19" xfId="0" applyNumberFormat="1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vertical="center" wrapText="1"/>
    </xf>
    <xf numFmtId="0" fontId="25" fillId="56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</cellXfs>
  <cellStyles count="11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2" xfId="89"/>
    <cellStyle name="Обычный 2 15" xfId="90"/>
    <cellStyle name="Обычный 2 2" xfId="91"/>
    <cellStyle name="Обычный 2 3" xfId="92"/>
    <cellStyle name="Обычный 2_Аналіз старих тарифів на коміссію27_10_11" xfId="93"/>
    <cellStyle name="Обычный 3" xfId="94"/>
    <cellStyle name="Обычный 3 2" xfId="95"/>
    <cellStyle name="Обычный 3 3" xfId="96"/>
    <cellStyle name="Обычный 3 4" xfId="97"/>
    <cellStyle name="Обычный 4" xfId="98"/>
    <cellStyle name="Обычный 4 2" xfId="99"/>
    <cellStyle name="Обычный 4 3" xfId="100"/>
    <cellStyle name="Обычный 4 4" xfId="101"/>
    <cellStyle name="Обычный 5" xfId="102"/>
    <cellStyle name="Обычный 6" xfId="103"/>
    <cellStyle name="Обычный 7" xfId="104"/>
    <cellStyle name="Обычный 8" xfId="105"/>
    <cellStyle name="Обычный 9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Финансовый 2" xfId="120"/>
    <cellStyle name="Финансовый 3" xfId="121"/>
    <cellStyle name="Хороший" xfId="122"/>
    <cellStyle name="Хороший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3333"/>
      <rgbColor rgb="00666699"/>
      <rgbColor rgb="00B3B3B3"/>
      <rgbColor rgb="00003366"/>
      <rgbColor rgb="0033A3A3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Z53"/>
  <sheetViews>
    <sheetView view="pageBreakPreview" zoomScale="70" zoomScaleSheetLayoutView="70" zoomScalePageLayoutView="0" workbookViewId="0" topLeftCell="A1">
      <pane xSplit="2" ySplit="10" topLeftCell="G36" activePane="bottomRight" state="frozen"/>
      <selection pane="topLeft" activeCell="A1" sqref="A1"/>
      <selection pane="topRight" activeCell="C1" sqref="C1"/>
      <selection pane="bottomLeft" activeCell="A43" sqref="A43"/>
      <selection pane="bottomRight" activeCell="A6" sqref="A6:K6"/>
    </sheetView>
  </sheetViews>
  <sheetFormatPr defaultColWidth="11.57421875" defaultRowHeight="12.75"/>
  <cols>
    <col min="1" max="1" width="7.7109375" style="1" customWidth="1"/>
    <col min="2" max="2" width="60.8515625" style="2" customWidth="1"/>
    <col min="3" max="6" width="0" style="2" hidden="1" customWidth="1"/>
    <col min="7" max="9" width="11.421875" style="2" hidden="1" customWidth="1"/>
    <col min="10" max="10" width="19.140625" style="2" customWidth="1"/>
    <col min="11" max="11" width="21.00390625" style="2" customWidth="1"/>
    <col min="12" max="232" width="11.57421875" style="2" customWidth="1"/>
  </cols>
  <sheetData>
    <row r="1" spans="1:11" ht="16.5">
      <c r="A1" s="3"/>
      <c r="B1" s="4"/>
      <c r="H1" s="5"/>
      <c r="I1" s="5"/>
      <c r="J1" s="5" t="s">
        <v>0</v>
      </c>
      <c r="K1" s="5"/>
    </row>
    <row r="2" spans="1:11" ht="14.25" customHeight="1">
      <c r="A2" s="6"/>
      <c r="B2" s="7"/>
      <c r="C2" s="7"/>
      <c r="D2" s="7"/>
      <c r="E2" s="7"/>
      <c r="F2" s="7"/>
      <c r="G2" s="7"/>
      <c r="H2" s="8"/>
      <c r="I2" s="8"/>
      <c r="J2" s="8"/>
      <c r="K2" s="8"/>
    </row>
    <row r="3" spans="1:11" ht="15" customHeight="1">
      <c r="A3" s="9"/>
      <c r="B3" s="10"/>
      <c r="C3" s="10"/>
      <c r="D3" s="10"/>
      <c r="E3" s="10"/>
      <c r="F3" s="10"/>
      <c r="G3" s="10"/>
      <c r="H3" s="11"/>
      <c r="I3" s="11"/>
      <c r="J3" s="11"/>
      <c r="K3" s="11"/>
    </row>
    <row r="4" spans="1:11" ht="24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20.25" customHeight="1">
      <c r="A5" s="302" t="s">
        <v>262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</row>
    <row r="6" spans="1:11" ht="18.75" customHeight="1">
      <c r="A6" s="302" t="s">
        <v>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</row>
    <row r="7" spans="1:11" ht="18.75">
      <c r="A7" s="9"/>
      <c r="B7" s="303"/>
      <c r="C7" s="303"/>
      <c r="D7" s="303"/>
      <c r="E7" s="303"/>
      <c r="F7" s="303"/>
      <c r="G7" s="303"/>
      <c r="H7" s="303"/>
      <c r="I7" s="12"/>
      <c r="J7" s="12"/>
      <c r="K7" s="12"/>
    </row>
    <row r="8" spans="1:52" ht="74.25" customHeight="1">
      <c r="A8" s="299" t="s">
        <v>2</v>
      </c>
      <c r="B8" s="299" t="s">
        <v>3</v>
      </c>
      <c r="C8" s="299" t="s">
        <v>4</v>
      </c>
      <c r="D8" s="299"/>
      <c r="E8" s="299" t="s">
        <v>5</v>
      </c>
      <c r="F8" s="299"/>
      <c r="G8" s="299" t="s">
        <v>5</v>
      </c>
      <c r="H8" s="299"/>
      <c r="I8" s="299"/>
      <c r="J8" s="299"/>
      <c r="K8" s="299"/>
      <c r="L8" s="14"/>
      <c r="M8" s="14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ht="36.75" customHeight="1">
      <c r="A9" s="299"/>
      <c r="B9" s="299"/>
      <c r="C9" s="16" t="s">
        <v>6</v>
      </c>
      <c r="D9" s="16" t="s">
        <v>7</v>
      </c>
      <c r="E9" s="16" t="s">
        <v>6</v>
      </c>
      <c r="F9" s="16" t="s">
        <v>7</v>
      </c>
      <c r="G9" s="17" t="s">
        <v>6</v>
      </c>
      <c r="H9" s="17" t="s">
        <v>7</v>
      </c>
      <c r="I9" s="17" t="s">
        <v>6</v>
      </c>
      <c r="J9" s="17" t="s">
        <v>6</v>
      </c>
      <c r="K9" s="17" t="s">
        <v>7</v>
      </c>
      <c r="L9" s="18"/>
      <c r="M9" s="18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</row>
    <row r="10" spans="1:52" ht="15.75" customHeight="1">
      <c r="A10" s="19">
        <v>1</v>
      </c>
      <c r="B10" s="20">
        <v>2</v>
      </c>
      <c r="C10" s="21">
        <v>3</v>
      </c>
      <c r="D10" s="21">
        <v>4</v>
      </c>
      <c r="E10" s="21">
        <v>5</v>
      </c>
      <c r="F10" s="21">
        <v>6</v>
      </c>
      <c r="G10" s="21">
        <v>3</v>
      </c>
      <c r="H10" s="21">
        <v>4</v>
      </c>
      <c r="I10" s="21">
        <v>5</v>
      </c>
      <c r="J10" s="21">
        <v>6</v>
      </c>
      <c r="K10" s="21">
        <v>7</v>
      </c>
      <c r="L10" s="22"/>
      <c r="M10" s="22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</row>
    <row r="11" spans="1:13" s="27" customFormat="1" ht="15.75">
      <c r="A11" s="13">
        <v>1</v>
      </c>
      <c r="B11" s="23" t="s">
        <v>8</v>
      </c>
      <c r="C11" s="24" t="e">
        <f>'Додаток1 скор'!F8</f>
        <v>#REF!</v>
      </c>
      <c r="D11" s="24" t="e">
        <f>'Додаток1 скор'!G8</f>
        <v>#REF!</v>
      </c>
      <c r="E11" s="25">
        <f>'Додаток1 скор'!K8</f>
        <v>49560.93476756627</v>
      </c>
      <c r="F11" s="25">
        <f>'Додаток1 скор'!L8</f>
        <v>328.3732075809997</v>
      </c>
      <c r="G11" s="25">
        <f>G12+G20+G21+G24+0.01</f>
        <v>168334.12999999998</v>
      </c>
      <c r="H11" s="25">
        <f>H12+H20+H21+H24+0.01</f>
        <v>1115.3247262243333</v>
      </c>
      <c r="I11" s="25"/>
      <c r="J11" s="25">
        <f>J12+J20+J21+J24</f>
        <v>168373.66544999997</v>
      </c>
      <c r="K11" s="25">
        <f>K12+K20+K21+K24</f>
        <v>1115.5867403756529</v>
      </c>
      <c r="L11" s="26"/>
      <c r="M11" s="26"/>
    </row>
    <row r="12" spans="1:13" s="27" customFormat="1" ht="15.75">
      <c r="A12" s="13" t="s">
        <v>9</v>
      </c>
      <c r="B12" s="23" t="s">
        <v>10</v>
      </c>
      <c r="C12" s="24" t="e">
        <f>'Додаток1 скор'!F9</f>
        <v>#REF!</v>
      </c>
      <c r="D12" s="24" t="e">
        <f>'Додаток1 скор'!G9</f>
        <v>#REF!</v>
      </c>
      <c r="E12" s="25">
        <f>'Додаток1 скор'!K9</f>
        <v>33347.80504117695</v>
      </c>
      <c r="F12" s="25">
        <f>'Додаток1 скор'!L9</f>
        <v>220.9507499911677</v>
      </c>
      <c r="G12" s="25">
        <f>SUM(G13:G19)</f>
        <v>148711.12999999998</v>
      </c>
      <c r="H12" s="25">
        <f>G12/$G$46*1000-0.01</f>
        <v>985.297298785095</v>
      </c>
      <c r="I12" s="25"/>
      <c r="J12" s="25">
        <f>SUM(J13:J19)</f>
        <v>148750.67544999998</v>
      </c>
      <c r="K12" s="25">
        <f aca="true" t="shared" si="0" ref="K12:K44">J12/$G$46*1000</f>
        <v>985.5693129364147</v>
      </c>
      <c r="L12" s="26"/>
      <c r="M12" s="26"/>
    </row>
    <row r="13" spans="1:52" s="34" customFormat="1" ht="15.75">
      <c r="A13" s="28" t="s">
        <v>11</v>
      </c>
      <c r="B13" s="29" t="s">
        <v>12</v>
      </c>
      <c r="C13" s="30">
        <f>'Додаток1 скор'!F10</f>
        <v>54287.13590669442</v>
      </c>
      <c r="D13" s="30">
        <f>'Додаток1 скор'!G10</f>
        <v>256.14349051308176</v>
      </c>
      <c r="E13" s="31">
        <f>'Додаток1 скор'!K10</f>
        <v>26176.1</v>
      </c>
      <c r="F13" s="31">
        <f>'Додаток1 скор'!L10</f>
        <v>173.43357140604422</v>
      </c>
      <c r="G13" s="31">
        <v>136112.13</v>
      </c>
      <c r="H13" s="31">
        <f aca="true" t="shared" si="1" ref="H13:H44">G13/$G$46*1000</f>
        <v>901.8307852424073</v>
      </c>
      <c r="I13" s="31">
        <f>Додаток2!J13</f>
        <v>136151.67545</v>
      </c>
      <c r="J13" s="31">
        <f>I13</f>
        <v>136151.67545</v>
      </c>
      <c r="K13" s="31">
        <f t="shared" si="0"/>
        <v>902.092799393727</v>
      </c>
      <c r="L13" s="32"/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</row>
    <row r="14" spans="1:52" s="34" customFormat="1" ht="15.75">
      <c r="A14" s="28" t="s">
        <v>13</v>
      </c>
      <c r="B14" s="29" t="s">
        <v>14</v>
      </c>
      <c r="C14" s="30" t="e">
        <f>'Додаток1 скор'!F13</f>
        <v>#REF!</v>
      </c>
      <c r="D14" s="30" t="e">
        <f>'Додаток1 скор'!G13</f>
        <v>#REF!</v>
      </c>
      <c r="E14" s="31">
        <f>'Додаток1 скор'!K13</f>
        <v>6441.724128157798</v>
      </c>
      <c r="F14" s="31">
        <f>'Додаток1 скор'!L13</f>
        <v>42.68058349253302</v>
      </c>
      <c r="G14" s="31">
        <v>11869.02</v>
      </c>
      <c r="H14" s="31">
        <f t="shared" si="1"/>
        <v>78.63992449943908</v>
      </c>
      <c r="I14" s="31"/>
      <c r="J14" s="31">
        <f aca="true" t="shared" si="2" ref="J14:J35">G14</f>
        <v>11869.02</v>
      </c>
      <c r="K14" s="31">
        <f t="shared" si="0"/>
        <v>78.63992449943908</v>
      </c>
      <c r="L14" s="32"/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</row>
    <row r="15" spans="1:52" s="34" customFormat="1" ht="15.75">
      <c r="A15" s="28" t="s">
        <v>15</v>
      </c>
      <c r="B15" s="35" t="s">
        <v>16</v>
      </c>
      <c r="C15" s="30">
        <f>'Додаток1 скор'!F14</f>
        <v>0</v>
      </c>
      <c r="D15" s="30">
        <f>'Додаток1 скор'!G14</f>
        <v>0</v>
      </c>
      <c r="E15" s="31">
        <f>'Додаток1 скор'!K14</f>
        <v>0</v>
      </c>
      <c r="F15" s="31">
        <f>'Додаток1 скор'!L14</f>
        <v>0</v>
      </c>
      <c r="G15" s="31">
        <f>'Додаток1 скор'!P14</f>
        <v>0</v>
      </c>
      <c r="H15" s="31">
        <f t="shared" si="1"/>
        <v>0</v>
      </c>
      <c r="I15" s="31"/>
      <c r="J15" s="31">
        <f t="shared" si="2"/>
        <v>0</v>
      </c>
      <c r="K15" s="31">
        <f t="shared" si="0"/>
        <v>0</v>
      </c>
      <c r="L15" s="32"/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</row>
    <row r="16" spans="1:52" s="34" customFormat="1" ht="15.75">
      <c r="A16" s="28" t="s">
        <v>17</v>
      </c>
      <c r="B16" s="35" t="s">
        <v>18</v>
      </c>
      <c r="C16" s="30">
        <f>'Додаток1 скор'!F17</f>
        <v>0</v>
      </c>
      <c r="D16" s="30">
        <f>'Додаток1 скор'!G17</f>
        <v>0</v>
      </c>
      <c r="E16" s="31">
        <f>'Додаток1 скор'!K17</f>
        <v>0</v>
      </c>
      <c r="F16" s="31">
        <f>'Додаток1 скор'!L17</f>
        <v>0</v>
      </c>
      <c r="G16" s="31">
        <f>'Додаток1 скор'!P17</f>
        <v>0</v>
      </c>
      <c r="H16" s="31">
        <f t="shared" si="1"/>
        <v>0</v>
      </c>
      <c r="I16" s="31"/>
      <c r="J16" s="31">
        <f t="shared" si="2"/>
        <v>0</v>
      </c>
      <c r="K16" s="31">
        <f t="shared" si="0"/>
        <v>0</v>
      </c>
      <c r="L16" s="32"/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</row>
    <row r="17" spans="1:52" s="34" customFormat="1" ht="31.5">
      <c r="A17" s="28" t="s">
        <v>19</v>
      </c>
      <c r="B17" s="35" t="s">
        <v>20</v>
      </c>
      <c r="C17" s="30"/>
      <c r="D17" s="30"/>
      <c r="E17" s="31"/>
      <c r="F17" s="31"/>
      <c r="G17" s="31">
        <v>0</v>
      </c>
      <c r="H17" s="31">
        <f t="shared" si="1"/>
        <v>0</v>
      </c>
      <c r="I17" s="31"/>
      <c r="J17" s="31">
        <f t="shared" si="2"/>
        <v>0</v>
      </c>
      <c r="K17" s="31">
        <f t="shared" si="0"/>
        <v>0</v>
      </c>
      <c r="L17" s="32"/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</row>
    <row r="18" spans="1:52" s="34" customFormat="1" ht="15.75">
      <c r="A18" s="28" t="s">
        <v>21</v>
      </c>
      <c r="B18" s="29" t="s">
        <v>22</v>
      </c>
      <c r="C18" s="30" t="e">
        <f>'Додаток1 скор'!F21</f>
        <v>#REF!</v>
      </c>
      <c r="D18" s="30" t="e">
        <f>'Додаток1 скор'!G21</f>
        <v>#REF!</v>
      </c>
      <c r="E18" s="31">
        <f>'Додаток1 скор'!K21</f>
        <v>578.299720057403</v>
      </c>
      <c r="F18" s="31">
        <f>'Додаток1 скор'!L21</f>
        <v>3.83160920812004</v>
      </c>
      <c r="G18" s="31">
        <v>578.3</v>
      </c>
      <c r="H18" s="31">
        <f t="shared" si="1"/>
        <v>3.8316110629205795</v>
      </c>
      <c r="I18" s="31"/>
      <c r="J18" s="31">
        <f t="shared" si="2"/>
        <v>578.3</v>
      </c>
      <c r="K18" s="31">
        <f t="shared" si="0"/>
        <v>3.8316110629205795</v>
      </c>
      <c r="L18" s="32"/>
      <c r="M18" s="32"/>
      <c r="N18" s="298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</row>
    <row r="19" spans="1:52" s="34" customFormat="1" ht="15.75">
      <c r="A19" s="28" t="s">
        <v>23</v>
      </c>
      <c r="B19" s="29" t="s">
        <v>24</v>
      </c>
      <c r="C19" s="30" t="e">
        <f>'Додаток1 скор'!F22</f>
        <v>#REF!</v>
      </c>
      <c r="D19" s="30" t="e">
        <f>'Додаток1 скор'!G22</f>
        <v>#REF!</v>
      </c>
      <c r="E19" s="31">
        <f>'Додаток1 скор'!K22</f>
        <v>151.6811929617511</v>
      </c>
      <c r="F19" s="31">
        <f>'Додаток1 скор'!L22</f>
        <v>1.0049858844704074</v>
      </c>
      <c r="G19" s="31">
        <v>151.68</v>
      </c>
      <c r="H19" s="31">
        <f t="shared" si="1"/>
        <v>1.0049779803281922</v>
      </c>
      <c r="I19" s="31"/>
      <c r="J19" s="31">
        <f t="shared" si="2"/>
        <v>151.68</v>
      </c>
      <c r="K19" s="31">
        <f t="shared" si="0"/>
        <v>1.0049779803281922</v>
      </c>
      <c r="L19" s="32"/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</row>
    <row r="20" spans="1:13" s="27" customFormat="1" ht="15.75">
      <c r="A20" s="13" t="s">
        <v>25</v>
      </c>
      <c r="B20" s="23" t="s">
        <v>26</v>
      </c>
      <c r="C20" s="24" t="e">
        <f>'Додаток1 скор'!F23</f>
        <v>#REF!</v>
      </c>
      <c r="D20" s="24" t="e">
        <f>'Додаток1 скор'!G23</f>
        <v>#REF!</v>
      </c>
      <c r="E20" s="25">
        <f>'Додаток1 скор'!K23</f>
        <v>9486.378190514271</v>
      </c>
      <c r="F20" s="25">
        <f>'Додаток1 скор'!L23</f>
        <v>62.85338340277191</v>
      </c>
      <c r="G20" s="25">
        <v>16269.74</v>
      </c>
      <c r="H20" s="25">
        <v>107.81</v>
      </c>
      <c r="I20" s="25"/>
      <c r="J20" s="31">
        <f t="shared" si="2"/>
        <v>16269.74</v>
      </c>
      <c r="K20" s="25">
        <v>107.81</v>
      </c>
      <c r="L20" s="26"/>
      <c r="M20" s="26"/>
    </row>
    <row r="21" spans="1:13" s="27" customFormat="1" ht="15.75">
      <c r="A21" s="13" t="s">
        <v>27</v>
      </c>
      <c r="B21" s="23" t="s">
        <v>28</v>
      </c>
      <c r="C21" s="24" t="e">
        <f>'Додаток1 скор'!F24</f>
        <v>#REF!</v>
      </c>
      <c r="D21" s="24" t="e">
        <f>'Додаток1 скор'!G24</f>
        <v>#REF!</v>
      </c>
      <c r="E21" s="25">
        <f>'Додаток1 скор'!H24</f>
        <v>6079.5463934906</v>
      </c>
      <c r="F21" s="25">
        <f>'Додаток1 скор'!L24</f>
        <v>40.28092204537004</v>
      </c>
      <c r="G21" s="25">
        <f>G22+G23</f>
        <v>2563.8900000000003</v>
      </c>
      <c r="H21" s="25">
        <f t="shared" si="1"/>
        <v>16.98742743923819</v>
      </c>
      <c r="I21" s="25"/>
      <c r="J21" s="25">
        <f t="shared" si="2"/>
        <v>2563.8900000000003</v>
      </c>
      <c r="K21" s="25">
        <f t="shared" si="0"/>
        <v>16.98742743923819</v>
      </c>
      <c r="L21" s="26"/>
      <c r="M21" s="26"/>
    </row>
    <row r="22" spans="1:52" s="34" customFormat="1" ht="15.75">
      <c r="A22" s="28" t="s">
        <v>29</v>
      </c>
      <c r="B22" s="29" t="s">
        <v>30</v>
      </c>
      <c r="C22" s="30" t="e">
        <f>'Додаток1 скор'!F26</f>
        <v>#REF!</v>
      </c>
      <c r="D22" s="30" t="e">
        <f>'Додаток1 скор'!G26</f>
        <v>#REF!</v>
      </c>
      <c r="E22" s="31">
        <f>'Додаток1 скор'!H26</f>
        <v>1052.4698510530734</v>
      </c>
      <c r="F22" s="31">
        <f>'Додаток1 скор'!L26</f>
        <v>6.973292624391027</v>
      </c>
      <c r="G22" s="31">
        <v>1052.47</v>
      </c>
      <c r="H22" s="25">
        <v>6.98</v>
      </c>
      <c r="I22" s="31"/>
      <c r="J22" s="31">
        <f t="shared" si="2"/>
        <v>1052.47</v>
      </c>
      <c r="K22" s="31">
        <v>6.98</v>
      </c>
      <c r="L22" s="32"/>
      <c r="M22" s="32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</row>
    <row r="23" spans="1:52" s="34" customFormat="1" ht="15.75">
      <c r="A23" s="28" t="s">
        <v>31</v>
      </c>
      <c r="B23" s="29" t="s">
        <v>32</v>
      </c>
      <c r="C23" s="30" t="e">
        <f>'Додаток1 скор'!F27</f>
        <v>#REF!</v>
      </c>
      <c r="D23" s="30" t="e">
        <f>'Додаток1 скор'!G27</f>
        <v>#REF!</v>
      </c>
      <c r="E23" s="31">
        <f>'Додаток1 скор'!H27</f>
        <v>1511.4247875196886</v>
      </c>
      <c r="F23" s="31">
        <f>'Додаток1 скор'!L27</f>
        <v>10.014165548388076</v>
      </c>
      <c r="G23" s="31">
        <v>1511.42</v>
      </c>
      <c r="H23" s="25">
        <f t="shared" si="1"/>
        <v>10.01413382797756</v>
      </c>
      <c r="I23" s="31"/>
      <c r="J23" s="31">
        <f t="shared" si="2"/>
        <v>1511.42</v>
      </c>
      <c r="K23" s="31">
        <f t="shared" si="0"/>
        <v>10.01413382797756</v>
      </c>
      <c r="L23" s="32"/>
      <c r="M23" s="32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</row>
    <row r="24" spans="1:13" s="27" customFormat="1" ht="15.75">
      <c r="A24" s="13" t="s">
        <v>33</v>
      </c>
      <c r="B24" s="23" t="s">
        <v>34</v>
      </c>
      <c r="C24" s="24" t="e">
        <f>'Додаток1 скор'!F28</f>
        <v>#REF!</v>
      </c>
      <c r="D24" s="24" t="e">
        <f>'Додаток1 скор'!G28</f>
        <v>#REF!</v>
      </c>
      <c r="E24" s="25">
        <f>'Додаток1 скор'!H28</f>
        <v>647.2051423844551</v>
      </c>
      <c r="F24" s="25">
        <f>'Додаток1 скор'!L28</f>
        <v>4.28815214169007</v>
      </c>
      <c r="G24" s="25">
        <f>G25+G26</f>
        <v>789.3599999999999</v>
      </c>
      <c r="H24" s="25">
        <v>5.22</v>
      </c>
      <c r="I24" s="25"/>
      <c r="J24" s="25">
        <f t="shared" si="2"/>
        <v>789.3599999999999</v>
      </c>
      <c r="K24" s="25">
        <v>5.22</v>
      </c>
      <c r="L24" s="26"/>
      <c r="M24" s="26"/>
    </row>
    <row r="25" spans="1:52" s="34" customFormat="1" ht="15.75">
      <c r="A25" s="28" t="s">
        <v>35</v>
      </c>
      <c r="B25" s="29" t="s">
        <v>36</v>
      </c>
      <c r="C25" s="30" t="e">
        <f>'Додаток1 скор'!F29</f>
        <v>#REF!</v>
      </c>
      <c r="D25" s="30" t="e">
        <f>'Додаток1 скор'!G29</f>
        <v>#REF!</v>
      </c>
      <c r="E25" s="31">
        <f>'Додаток1 скор'!H29</f>
        <v>412.69256074613486</v>
      </c>
      <c r="F25" s="31">
        <f>'Додаток1 скор'!L29</f>
        <v>2.734354800864454</v>
      </c>
      <c r="G25" s="31">
        <v>707.79</v>
      </c>
      <c r="H25" s="25">
        <f t="shared" si="1"/>
        <v>4.689565959233195</v>
      </c>
      <c r="I25" s="31"/>
      <c r="J25" s="31">
        <f t="shared" si="2"/>
        <v>707.79</v>
      </c>
      <c r="K25" s="25">
        <f t="shared" si="0"/>
        <v>4.689565959233195</v>
      </c>
      <c r="L25" s="32"/>
      <c r="M25" s="3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</row>
    <row r="26" spans="1:52" s="34" customFormat="1" ht="15.75">
      <c r="A26" s="28" t="s">
        <v>37</v>
      </c>
      <c r="B26" s="29" t="s">
        <v>38</v>
      </c>
      <c r="C26" s="30" t="e">
        <f>'Додаток1 скор'!F31</f>
        <v>#REF!</v>
      </c>
      <c r="D26" s="30" t="e">
        <f>'Додаток1 скор'!G31</f>
        <v>#REF!</v>
      </c>
      <c r="E26" s="31">
        <f>'Додаток1 скор'!H31</f>
        <v>81.56871889556541</v>
      </c>
      <c r="F26" s="31">
        <f>'Додаток1 скор'!L31</f>
        <v>0.5404454534126014</v>
      </c>
      <c r="G26" s="31">
        <v>81.57</v>
      </c>
      <c r="H26" s="25">
        <f t="shared" si="1"/>
        <v>0.5404539415570321</v>
      </c>
      <c r="I26" s="31"/>
      <c r="J26" s="31">
        <f t="shared" si="2"/>
        <v>81.57</v>
      </c>
      <c r="K26" s="25">
        <f t="shared" si="0"/>
        <v>0.5404539415570321</v>
      </c>
      <c r="L26" s="32"/>
      <c r="M26" s="32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</row>
    <row r="27" spans="1:13" s="27" customFormat="1" ht="15.75">
      <c r="A27" s="13" t="s">
        <v>39</v>
      </c>
      <c r="B27" s="23" t="s">
        <v>40</v>
      </c>
      <c r="C27" s="24" t="e">
        <f>'Додаток1 скор'!F32</f>
        <v>#REF!</v>
      </c>
      <c r="D27" s="24" t="e">
        <f>'Додаток1 скор'!G32</f>
        <v>#REF!</v>
      </c>
      <c r="E27" s="25">
        <f>'Додаток1 скор'!H32</f>
        <v>2215.437782206711</v>
      </c>
      <c r="F27" s="25">
        <f>'Додаток1 скор'!L32</f>
        <v>14.678706407600668</v>
      </c>
      <c r="G27" s="25">
        <f>G28+G29</f>
        <v>2725.54</v>
      </c>
      <c r="H27" s="25">
        <v>18.05</v>
      </c>
      <c r="I27" s="25"/>
      <c r="J27" s="25">
        <f t="shared" si="2"/>
        <v>2725.54</v>
      </c>
      <c r="K27" s="25">
        <v>18.05</v>
      </c>
      <c r="L27" s="26"/>
      <c r="M27" s="26"/>
    </row>
    <row r="28" spans="1:52" s="34" customFormat="1" ht="15.75">
      <c r="A28" s="28" t="s">
        <v>41</v>
      </c>
      <c r="B28" s="29" t="s">
        <v>36</v>
      </c>
      <c r="C28" s="30" t="e">
        <f>'Додаток1 скор'!F33</f>
        <v>#REF!</v>
      </c>
      <c r="D28" s="30" t="e">
        <f>'Додаток1 скор'!G33</f>
        <v>#REF!</v>
      </c>
      <c r="E28" s="31">
        <f>'Додаток1 скор'!H33</f>
        <v>1480.8603103640826</v>
      </c>
      <c r="F28" s="31">
        <f>'Додаток1 скор'!L33</f>
        <v>9.811656143577766</v>
      </c>
      <c r="G28" s="31">
        <v>2539.77</v>
      </c>
      <c r="H28" s="25">
        <f t="shared" si="1"/>
        <v>16.82761685850562</v>
      </c>
      <c r="I28" s="31"/>
      <c r="J28" s="31">
        <f t="shared" si="2"/>
        <v>2539.77</v>
      </c>
      <c r="K28" s="31">
        <f t="shared" si="0"/>
        <v>16.82761685850562</v>
      </c>
      <c r="L28" s="32"/>
      <c r="M28" s="32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</row>
    <row r="29" spans="1:52" s="34" customFormat="1" ht="15.75">
      <c r="A29" s="28" t="s">
        <v>42</v>
      </c>
      <c r="B29" s="29" t="s">
        <v>38</v>
      </c>
      <c r="C29" s="30" t="e">
        <f>'Додаток1 скор'!F35</f>
        <v>#REF!</v>
      </c>
      <c r="D29" s="30" t="e">
        <f>'Додаток1 скор'!G35</f>
        <v>#REF!</v>
      </c>
      <c r="E29" s="31">
        <f>'Додаток1 скор'!H35</f>
        <v>185.77063849094884</v>
      </c>
      <c r="F29" s="31">
        <f>'Додаток1 скор'!L35</f>
        <v>1.2308504817702564</v>
      </c>
      <c r="G29" s="31">
        <v>185.77</v>
      </c>
      <c r="H29" s="25">
        <f t="shared" si="1"/>
        <v>1.230846251355276</v>
      </c>
      <c r="I29" s="31"/>
      <c r="J29" s="31">
        <f t="shared" si="2"/>
        <v>185.77</v>
      </c>
      <c r="K29" s="31">
        <f t="shared" si="0"/>
        <v>1.230846251355276</v>
      </c>
      <c r="L29" s="32"/>
      <c r="M29" s="32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</row>
    <row r="30" spans="1:52" ht="15.75" hidden="1">
      <c r="A30" s="28" t="s">
        <v>43</v>
      </c>
      <c r="B30" s="29" t="s">
        <v>44</v>
      </c>
      <c r="C30" s="24">
        <f>'Додаток1 скор'!F37</f>
        <v>0</v>
      </c>
      <c r="D30" s="24" t="e">
        <f>'Додаток1 скор'!G37</f>
        <v>#REF!</v>
      </c>
      <c r="E30" s="31">
        <f>'Додаток1 скор'!H37</f>
        <v>0</v>
      </c>
      <c r="F30" s="31">
        <f>'Додаток1 скор'!L37</f>
        <v>0</v>
      </c>
      <c r="G30" s="25">
        <f>'Додаток1 скор'!P37</f>
        <v>0</v>
      </c>
      <c r="H30" s="25">
        <f t="shared" si="1"/>
        <v>0</v>
      </c>
      <c r="I30" s="25"/>
      <c r="J30" s="31">
        <f t="shared" si="2"/>
        <v>0</v>
      </c>
      <c r="K30" s="31">
        <f t="shared" si="0"/>
        <v>0</v>
      </c>
      <c r="L30" s="32"/>
      <c r="M30" s="32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1:52" ht="15.75" hidden="1">
      <c r="A31" s="28" t="s">
        <v>45</v>
      </c>
      <c r="B31" s="29" t="s">
        <v>46</v>
      </c>
      <c r="C31" s="24">
        <f>'Додаток1 скор'!F38</f>
        <v>0</v>
      </c>
      <c r="D31" s="24" t="e">
        <f>'Додаток1 скор'!G38</f>
        <v>#REF!</v>
      </c>
      <c r="E31" s="31">
        <f>'Додаток1 скор'!H38</f>
        <v>0</v>
      </c>
      <c r="F31" s="31">
        <f>'Додаток1 скор'!L38</f>
        <v>0</v>
      </c>
      <c r="G31" s="25">
        <f>'Додаток1 скор'!P38</f>
        <v>0</v>
      </c>
      <c r="H31" s="25">
        <f t="shared" si="1"/>
        <v>0</v>
      </c>
      <c r="I31" s="25"/>
      <c r="J31" s="31">
        <f t="shared" si="2"/>
        <v>0</v>
      </c>
      <c r="K31" s="31">
        <f t="shared" si="0"/>
        <v>0</v>
      </c>
      <c r="L31" s="32"/>
      <c r="M31" s="32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</row>
    <row r="32" spans="1:52" ht="15.75" hidden="1">
      <c r="A32" s="28" t="s">
        <v>47</v>
      </c>
      <c r="B32" s="29" t="s">
        <v>38</v>
      </c>
      <c r="C32" s="24">
        <f>'Додаток1 скор'!F39</f>
        <v>0</v>
      </c>
      <c r="D32" s="24" t="e">
        <f>'Додаток1 скор'!G39</f>
        <v>#REF!</v>
      </c>
      <c r="E32" s="31">
        <f>'Додаток1 скор'!H39</f>
        <v>0</v>
      </c>
      <c r="F32" s="31">
        <f>'Додаток1 скор'!L39</f>
        <v>0</v>
      </c>
      <c r="G32" s="25">
        <f>'Додаток1 скор'!P39</f>
        <v>0</v>
      </c>
      <c r="H32" s="25">
        <f t="shared" si="1"/>
        <v>0</v>
      </c>
      <c r="I32" s="25"/>
      <c r="J32" s="31">
        <f t="shared" si="2"/>
        <v>0</v>
      </c>
      <c r="K32" s="31">
        <f t="shared" si="0"/>
        <v>0</v>
      </c>
      <c r="L32" s="32"/>
      <c r="M32" s="32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1:52" ht="15.75">
      <c r="A33" s="36" t="s">
        <v>48</v>
      </c>
      <c r="B33" s="23" t="s">
        <v>49</v>
      </c>
      <c r="C33" s="24"/>
      <c r="D33" s="24"/>
      <c r="E33" s="31"/>
      <c r="F33" s="31"/>
      <c r="G33" s="25">
        <v>0</v>
      </c>
      <c r="H33" s="25">
        <f t="shared" si="1"/>
        <v>0</v>
      </c>
      <c r="I33" s="25"/>
      <c r="J33" s="31">
        <f t="shared" si="2"/>
        <v>0</v>
      </c>
      <c r="K33" s="31">
        <f t="shared" si="0"/>
        <v>0</v>
      </c>
      <c r="L33" s="32"/>
      <c r="M33" s="32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13" s="27" customFormat="1" ht="15.75">
      <c r="A34" s="13">
        <v>4</v>
      </c>
      <c r="B34" s="23" t="s">
        <v>50</v>
      </c>
      <c r="C34" s="24" t="e">
        <f>'Додаток1 скор'!F40</f>
        <v>#REF!</v>
      </c>
      <c r="D34" s="24" t="e">
        <f>'Додаток1 скор'!G40</f>
        <v>#REF!</v>
      </c>
      <c r="E34" s="25">
        <f>'Додаток1 скор'!H40</f>
        <v>0</v>
      </c>
      <c r="F34" s="25">
        <f>'Додаток1 скор'!L40</f>
        <v>0</v>
      </c>
      <c r="G34" s="25">
        <f>'Додаток1 скор'!P40</f>
        <v>0</v>
      </c>
      <c r="H34" s="25">
        <f t="shared" si="1"/>
        <v>0</v>
      </c>
      <c r="I34" s="25"/>
      <c r="J34" s="25">
        <f t="shared" si="2"/>
        <v>0</v>
      </c>
      <c r="K34" s="25">
        <f t="shared" si="0"/>
        <v>0</v>
      </c>
      <c r="L34" s="26"/>
      <c r="M34" s="26"/>
    </row>
    <row r="35" spans="1:13" s="27" customFormat="1" ht="15.75">
      <c r="A35" s="13">
        <v>5</v>
      </c>
      <c r="B35" s="23" t="s">
        <v>51</v>
      </c>
      <c r="C35" s="24" t="e">
        <f>'Додаток1 скор'!F41</f>
        <v>#REF!</v>
      </c>
      <c r="D35" s="24" t="e">
        <f>'Додаток1 скор'!G41</f>
        <v>#REF!</v>
      </c>
      <c r="E35" s="25">
        <f>'Додаток1 скор'!H41</f>
        <v>0</v>
      </c>
      <c r="F35" s="25">
        <f>'Додаток1 скор'!L41</f>
        <v>0</v>
      </c>
      <c r="G35" s="25">
        <f>'Додаток1 скор'!P41</f>
        <v>0</v>
      </c>
      <c r="H35" s="25">
        <f t="shared" si="1"/>
        <v>0</v>
      </c>
      <c r="I35" s="25"/>
      <c r="J35" s="25">
        <f t="shared" si="2"/>
        <v>0</v>
      </c>
      <c r="K35" s="25">
        <f t="shared" si="0"/>
        <v>0</v>
      </c>
      <c r="L35" s="26"/>
      <c r="M35" s="26"/>
    </row>
    <row r="36" spans="1:13" s="27" customFormat="1" ht="15.75">
      <c r="A36" s="13">
        <v>6</v>
      </c>
      <c r="B36" s="23" t="s">
        <v>52</v>
      </c>
      <c r="C36" s="24" t="e">
        <f>'Додаток1 скор'!F42</f>
        <v>#REF!</v>
      </c>
      <c r="D36" s="24" t="e">
        <f>'Додаток1 скор'!G42</f>
        <v>#REF!</v>
      </c>
      <c r="E36" s="25">
        <f>'Додаток1 скор'!H42</f>
        <v>51776.372549773</v>
      </c>
      <c r="F36" s="25">
        <f>'Додаток1 скор'!L42</f>
        <v>343.051399076691</v>
      </c>
      <c r="G36" s="25">
        <v>171059.67</v>
      </c>
      <c r="H36" s="25">
        <f t="shared" si="1"/>
        <v>1133.3808127123355</v>
      </c>
      <c r="I36" s="25"/>
      <c r="J36" s="25">
        <f>J27+J11</f>
        <v>171099.20544999998</v>
      </c>
      <c r="K36" s="25">
        <f t="shared" si="0"/>
        <v>1133.6427606071952</v>
      </c>
      <c r="L36" s="26"/>
      <c r="M36" s="26"/>
    </row>
    <row r="37" spans="1:13" s="27" customFormat="1" ht="15.75">
      <c r="A37" s="37">
        <v>7</v>
      </c>
      <c r="B37" s="23" t="s">
        <v>53</v>
      </c>
      <c r="C37" s="24"/>
      <c r="D37" s="24"/>
      <c r="E37" s="25"/>
      <c r="F37" s="25"/>
      <c r="G37" s="25">
        <v>0</v>
      </c>
      <c r="H37" s="25">
        <f t="shared" si="1"/>
        <v>0</v>
      </c>
      <c r="I37" s="25">
        <v>0</v>
      </c>
      <c r="J37" s="25">
        <v>0</v>
      </c>
      <c r="K37" s="25">
        <f t="shared" si="0"/>
        <v>0</v>
      </c>
      <c r="L37" s="26"/>
      <c r="M37" s="26"/>
    </row>
    <row r="38" spans="1:13" s="27" customFormat="1" ht="15.75">
      <c r="A38" s="13">
        <v>8</v>
      </c>
      <c r="B38" s="38" t="s">
        <v>54</v>
      </c>
      <c r="C38" s="24" t="e">
        <f>'Додаток1 скор'!F43</f>
        <v>#REF!</v>
      </c>
      <c r="D38" s="24" t="e">
        <f>'Додаток1 скор'!G43</f>
        <v>#REF!</v>
      </c>
      <c r="E38" s="25">
        <f>'Додаток1 скор'!H43</f>
        <v>0</v>
      </c>
      <c r="F38" s="25">
        <f>'Додаток1 скор'!L43</f>
        <v>0</v>
      </c>
      <c r="G38" s="25">
        <v>0</v>
      </c>
      <c r="H38" s="25">
        <f t="shared" si="1"/>
        <v>0</v>
      </c>
      <c r="I38" s="25"/>
      <c r="J38" s="25">
        <f aca="true" t="shared" si="3" ref="J38:J43">G38</f>
        <v>0</v>
      </c>
      <c r="K38" s="25">
        <f t="shared" si="0"/>
        <v>0</v>
      </c>
      <c r="L38" s="26"/>
      <c r="M38" s="26"/>
    </row>
    <row r="39" spans="1:52" ht="15.75">
      <c r="A39" s="28" t="s">
        <v>55</v>
      </c>
      <c r="B39" s="29" t="s">
        <v>56</v>
      </c>
      <c r="C39" s="30" t="e">
        <f>'Додаток1 скор'!F44</f>
        <v>#REF!</v>
      </c>
      <c r="D39" s="30" t="e">
        <f>'Додаток1 скор'!G44</f>
        <v>#REF!</v>
      </c>
      <c r="E39" s="31">
        <f>'Додаток1 скор'!H44</f>
        <v>0</v>
      </c>
      <c r="F39" s="31">
        <f>'Додаток1 скор'!L44</f>
        <v>0</v>
      </c>
      <c r="G39" s="31">
        <f>'Додаток1 скор'!P44</f>
        <v>0</v>
      </c>
      <c r="H39" s="25">
        <f t="shared" si="1"/>
        <v>0</v>
      </c>
      <c r="I39" s="31"/>
      <c r="J39" s="31">
        <f t="shared" si="3"/>
        <v>0</v>
      </c>
      <c r="K39" s="25">
        <f t="shared" si="0"/>
        <v>0</v>
      </c>
      <c r="L39" s="32"/>
      <c r="M39" s="32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</row>
    <row r="40" spans="1:52" ht="15.75" hidden="1">
      <c r="A40" s="28" t="s">
        <v>57</v>
      </c>
      <c r="B40" s="29" t="s">
        <v>58</v>
      </c>
      <c r="C40" s="30" t="e">
        <f>'Додаток1 скор'!F45</f>
        <v>#REF!</v>
      </c>
      <c r="D40" s="30" t="e">
        <f>'Додаток1 скор'!G45</f>
        <v>#REF!</v>
      </c>
      <c r="E40" s="31">
        <f>'Додаток1 скор'!H45</f>
        <v>0</v>
      </c>
      <c r="F40" s="31">
        <f>'Додаток1 скор'!L45</f>
        <v>0</v>
      </c>
      <c r="G40" s="31">
        <f>'Додаток1 скор'!P45</f>
        <v>0</v>
      </c>
      <c r="H40" s="25">
        <f t="shared" si="1"/>
        <v>0</v>
      </c>
      <c r="I40" s="31"/>
      <c r="J40" s="31">
        <f t="shared" si="3"/>
        <v>0</v>
      </c>
      <c r="K40" s="25">
        <f t="shared" si="0"/>
        <v>0</v>
      </c>
      <c r="L40" s="32"/>
      <c r="M40" s="32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</row>
    <row r="41" spans="1:52" ht="15.75">
      <c r="A41" s="28" t="s">
        <v>59</v>
      </c>
      <c r="B41" s="29" t="str">
        <f>'Додаток2 скор'!B45</f>
        <v>резервний фонд (капітал) та дивіденди </v>
      </c>
      <c r="C41" s="30" t="e">
        <f>'Додаток1 скор'!F46</f>
        <v>#REF!</v>
      </c>
      <c r="D41" s="30" t="e">
        <f>'Додаток1 скор'!G46</f>
        <v>#REF!</v>
      </c>
      <c r="E41" s="31">
        <f>'Додаток1 скор'!H46</f>
        <v>0</v>
      </c>
      <c r="F41" s="31">
        <f>'Додаток1 скор'!L46</f>
        <v>0</v>
      </c>
      <c r="G41" s="31">
        <f>'Додаток1 скор'!P46</f>
        <v>0</v>
      </c>
      <c r="H41" s="25">
        <f t="shared" si="1"/>
        <v>0</v>
      </c>
      <c r="I41" s="31"/>
      <c r="J41" s="31">
        <f t="shared" si="3"/>
        <v>0</v>
      </c>
      <c r="K41" s="25">
        <f t="shared" si="0"/>
        <v>0</v>
      </c>
      <c r="L41" s="32"/>
      <c r="M41" s="32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</row>
    <row r="42" spans="1:52" ht="15.75">
      <c r="A42" s="28" t="s">
        <v>60</v>
      </c>
      <c r="B42" s="29" t="s">
        <v>61</v>
      </c>
      <c r="C42" s="30" t="e">
        <f>'Додаток1 скор'!F47</f>
        <v>#REF!</v>
      </c>
      <c r="D42" s="30" t="e">
        <f>'Додаток1 скор'!G47</f>
        <v>#REF!</v>
      </c>
      <c r="E42" s="31">
        <f>'Додаток1 скор'!H47</f>
        <v>0</v>
      </c>
      <c r="F42" s="31">
        <f>'Додаток1 скор'!L47</f>
        <v>0</v>
      </c>
      <c r="G42" s="31">
        <v>0</v>
      </c>
      <c r="H42" s="25">
        <f t="shared" si="1"/>
        <v>0</v>
      </c>
      <c r="I42" s="31"/>
      <c r="J42" s="31">
        <f t="shared" si="3"/>
        <v>0</v>
      </c>
      <c r="K42" s="25">
        <f t="shared" si="0"/>
        <v>0</v>
      </c>
      <c r="L42" s="32"/>
      <c r="M42" s="32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</row>
    <row r="43" spans="1:52" ht="15.75">
      <c r="A43" s="28" t="s">
        <v>62</v>
      </c>
      <c r="B43" s="29" t="str">
        <f>'Додаток2 скор'!B47</f>
        <v>інше використання прибутку (прибуток у тарифах НКРЕ)</v>
      </c>
      <c r="C43" s="30" t="e">
        <f>'Додаток1 скор'!F48</f>
        <v>#REF!</v>
      </c>
      <c r="D43" s="30" t="e">
        <f>'Додаток1 скор'!G48</f>
        <v>#REF!</v>
      </c>
      <c r="E43" s="31">
        <f>'Додаток1 скор'!H48</f>
        <v>0</v>
      </c>
      <c r="F43" s="31">
        <f>'Додаток1 скор'!L48</f>
        <v>0</v>
      </c>
      <c r="G43" s="31">
        <f>'Додаток1 скор'!P48</f>
        <v>0</v>
      </c>
      <c r="H43" s="25">
        <f t="shared" si="1"/>
        <v>0</v>
      </c>
      <c r="I43" s="31"/>
      <c r="J43" s="31">
        <f t="shared" si="3"/>
        <v>0</v>
      </c>
      <c r="K43" s="25">
        <f t="shared" si="0"/>
        <v>0</v>
      </c>
      <c r="L43" s="32"/>
      <c r="M43" s="32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</row>
    <row r="44" spans="1:13" s="27" customFormat="1" ht="15.75">
      <c r="A44" s="13">
        <v>9</v>
      </c>
      <c r="B44" s="23" t="s">
        <v>63</v>
      </c>
      <c r="C44" s="24" t="e">
        <f>'Додаток1 скор'!F49</f>
        <v>#REF!</v>
      </c>
      <c r="D44" s="24" t="e">
        <f>'Додаток1 скор'!G49</f>
        <v>#REF!</v>
      </c>
      <c r="E44" s="25">
        <f>'Додаток1 скор'!H49</f>
        <v>51776.372549773</v>
      </c>
      <c r="F44" s="25">
        <f>'Додаток1 скор'!L49</f>
        <v>343.051399076691</v>
      </c>
      <c r="G44" s="25">
        <v>171059.67</v>
      </c>
      <c r="H44" s="25">
        <f t="shared" si="1"/>
        <v>1133.3808127123355</v>
      </c>
      <c r="I44" s="25"/>
      <c r="J44" s="25">
        <f>J36</f>
        <v>171099.20544999998</v>
      </c>
      <c r="K44" s="25">
        <f t="shared" si="0"/>
        <v>1133.6427606071952</v>
      </c>
      <c r="L44" s="26"/>
      <c r="M44" s="26"/>
    </row>
    <row r="45" spans="1:13" s="27" customFormat="1" ht="15.75">
      <c r="A45" s="13">
        <v>10</v>
      </c>
      <c r="B45" s="23" t="s">
        <v>64</v>
      </c>
      <c r="C45" s="24"/>
      <c r="D45" s="25" t="e">
        <f>D44</f>
        <v>#REF!</v>
      </c>
      <c r="E45" s="25"/>
      <c r="F45" s="25">
        <f>F36+F38</f>
        <v>343.051399076691</v>
      </c>
      <c r="G45" s="25"/>
      <c r="H45" s="25">
        <f>H44</f>
        <v>1133.3808127123355</v>
      </c>
      <c r="I45" s="25"/>
      <c r="J45" s="25"/>
      <c r="K45" s="25">
        <f>K44</f>
        <v>1133.6427606071952</v>
      </c>
      <c r="L45" s="26"/>
      <c r="M45" s="26"/>
    </row>
    <row r="46" spans="1:11" s="27" customFormat="1" ht="30.75" customHeight="1">
      <c r="A46" s="13">
        <v>11</v>
      </c>
      <c r="B46" s="38" t="s">
        <v>65</v>
      </c>
      <c r="C46" s="24" t="e">
        <f>G46+#REF!+E46</f>
        <v>#REF!</v>
      </c>
      <c r="D46" s="24"/>
      <c r="E46" s="25">
        <f>'Додаток2 скор'!H50</f>
        <v>150928.68</v>
      </c>
      <c r="F46" s="25"/>
      <c r="G46" s="25">
        <v>150928.68</v>
      </c>
      <c r="H46" s="25"/>
      <c r="I46" s="25"/>
      <c r="J46" s="25">
        <f>G46</f>
        <v>150928.68</v>
      </c>
      <c r="K46" s="25"/>
    </row>
    <row r="47" spans="1:11" s="27" customFormat="1" ht="18" customHeight="1">
      <c r="A47" s="295">
        <v>12</v>
      </c>
      <c r="B47" s="296" t="str">
        <f>'Додаток2 скор'!B51</f>
        <v>Рівень рентабельності, %</v>
      </c>
      <c r="C47" s="297" t="e">
        <f aca="true" t="shared" si="4" ref="C47:H47">C38/C36*100</f>
        <v>#REF!</v>
      </c>
      <c r="D47" s="297" t="e">
        <f t="shared" si="4"/>
        <v>#REF!</v>
      </c>
      <c r="E47" s="297">
        <f t="shared" si="4"/>
        <v>0</v>
      </c>
      <c r="F47" s="297">
        <f t="shared" si="4"/>
        <v>0</v>
      </c>
      <c r="G47" s="297">
        <f t="shared" si="4"/>
        <v>0</v>
      </c>
      <c r="H47" s="297">
        <f t="shared" si="4"/>
        <v>0</v>
      </c>
      <c r="I47" s="297"/>
      <c r="J47" s="297">
        <v>0</v>
      </c>
      <c r="K47" s="297">
        <v>0</v>
      </c>
    </row>
    <row r="48" spans="1:11" s="27" customFormat="1" ht="18.75" customHeight="1">
      <c r="A48" s="40"/>
      <c r="B48" s="41"/>
      <c r="C48" s="42"/>
      <c r="D48" s="42"/>
      <c r="E48" s="26"/>
      <c r="F48" s="26"/>
      <c r="G48" s="26"/>
      <c r="H48" s="26"/>
      <c r="I48" s="26"/>
      <c r="J48" s="26"/>
      <c r="K48" s="26"/>
    </row>
    <row r="49" spans="1:11" s="44" customFormat="1" ht="60" customHeight="1">
      <c r="A49" s="300"/>
      <c r="B49" s="300"/>
      <c r="C49" s="300"/>
      <c r="D49" s="300"/>
      <c r="E49" s="300"/>
      <c r="F49" s="300"/>
      <c r="G49" s="43"/>
      <c r="H49" s="301"/>
      <c r="I49" s="301"/>
      <c r="J49" s="301"/>
      <c r="K49" s="301"/>
    </row>
    <row r="50" spans="1:6" s="47" customFormat="1" ht="14.25" hidden="1">
      <c r="A50" s="45"/>
      <c r="B50" s="46" t="s">
        <v>66</v>
      </c>
      <c r="C50" s="46"/>
      <c r="D50" s="46"/>
      <c r="E50" s="46"/>
      <c r="F50" s="46"/>
    </row>
    <row r="51" spans="1:11" ht="20.25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3" spans="2:7" ht="12.75" hidden="1">
      <c r="B53" s="15" t="s">
        <v>67</v>
      </c>
      <c r="G53" s="2" t="s">
        <v>68</v>
      </c>
    </row>
  </sheetData>
  <sheetProtection selectLockedCells="1" selectUnlockedCells="1"/>
  <mergeCells count="10">
    <mergeCell ref="E8:F8"/>
    <mergeCell ref="G8:K8"/>
    <mergeCell ref="A49:F49"/>
    <mergeCell ref="H49:K49"/>
    <mergeCell ref="A5:K5"/>
    <mergeCell ref="A6:K6"/>
    <mergeCell ref="B7:H7"/>
    <mergeCell ref="A8:A9"/>
    <mergeCell ref="B8:B9"/>
    <mergeCell ref="C8:D8"/>
  </mergeCells>
  <printOptions horizontalCentered="1"/>
  <pageMargins left="0.1701388888888889" right="0.1701388888888889" top="0.32013888888888886" bottom="0.3597222222222222" header="0.5118055555555555" footer="0.5118055555555555"/>
  <pageSetup horizontalDpi="300" verticalDpi="300" orientation="portrait" paperSize="9" scale="81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F57"/>
  <sheetViews>
    <sheetView view="pageBreakPreview" zoomScale="70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8" sqref="B18"/>
    </sheetView>
  </sheetViews>
  <sheetFormatPr defaultColWidth="11.57421875" defaultRowHeight="12.75"/>
  <cols>
    <col min="1" max="1" width="8.57421875" style="2" customWidth="1"/>
    <col min="2" max="2" width="62.421875" style="2" customWidth="1"/>
    <col min="3" max="7" width="0" style="2" hidden="1" customWidth="1"/>
    <col min="8" max="8" width="11.28125" style="2" customWidth="1"/>
    <col min="9" max="9" width="10.28125" style="2" customWidth="1"/>
    <col min="10" max="10" width="8.8515625" style="50" customWidth="1"/>
    <col min="11" max="11" width="12.8515625" style="50" customWidth="1"/>
    <col min="12" max="12" width="13.140625" style="50" customWidth="1"/>
    <col min="13" max="13" width="11.8515625" style="2" customWidth="1"/>
    <col min="14" max="14" width="10.00390625" style="2" customWidth="1"/>
    <col min="15" max="15" width="8.8515625" style="2" customWidth="1"/>
    <col min="16" max="16" width="12.8515625" style="2" customWidth="1"/>
    <col min="17" max="17" width="13.140625" style="2" customWidth="1"/>
    <col min="18" max="18" width="11.00390625" style="2" customWidth="1"/>
    <col min="19" max="19" width="11.7109375" style="2" customWidth="1"/>
    <col min="20" max="20" width="8.7109375" style="2" customWidth="1"/>
    <col min="21" max="21" width="13.8515625" style="2" customWidth="1"/>
    <col min="22" max="22" width="11.8515625" style="2" customWidth="1"/>
    <col min="23" max="30" width="0" style="2" hidden="1" customWidth="1"/>
    <col min="31" max="31" width="8.140625" style="2" customWidth="1"/>
    <col min="32" max="16384" width="11.57421875" style="2" customWidth="1"/>
  </cols>
  <sheetData>
    <row r="1" spans="1:22" ht="6.75" customHeight="1">
      <c r="A1" s="51"/>
      <c r="B1" s="10"/>
      <c r="C1" s="10"/>
      <c r="D1" s="10"/>
      <c r="E1" s="10"/>
      <c r="F1" s="10"/>
      <c r="G1" s="10"/>
      <c r="H1" s="10"/>
      <c r="I1" s="10"/>
      <c r="J1" s="52"/>
      <c r="K1" s="52"/>
      <c r="L1" s="52"/>
      <c r="M1" s="10"/>
      <c r="N1" s="52"/>
      <c r="O1" s="52"/>
      <c r="P1" s="52"/>
      <c r="Q1" s="52"/>
      <c r="R1" s="52"/>
      <c r="T1" s="52"/>
      <c r="U1" s="52"/>
      <c r="V1" s="52"/>
    </row>
    <row r="2" spans="1:22" ht="60" customHeight="1">
      <c r="A2" s="306" t="s">
        <v>69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</row>
    <row r="3" spans="1:22" ht="15.75">
      <c r="A3" s="53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54"/>
      <c r="P3" s="54"/>
      <c r="Q3" s="54"/>
      <c r="R3" s="308"/>
      <c r="S3" s="308"/>
      <c r="T3" s="54"/>
      <c r="U3" s="308" t="s">
        <v>70</v>
      </c>
      <c r="V3" s="308"/>
    </row>
    <row r="4" spans="1:110" ht="21.75" customHeight="1">
      <c r="A4" s="299" t="s">
        <v>2</v>
      </c>
      <c r="B4" s="299" t="s">
        <v>3</v>
      </c>
      <c r="C4" s="55" t="s">
        <v>71</v>
      </c>
      <c r="D4" s="299" t="s">
        <v>72</v>
      </c>
      <c r="E4" s="299"/>
      <c r="F4" s="299"/>
      <c r="G4" s="299"/>
      <c r="H4" s="299" t="s">
        <v>73</v>
      </c>
      <c r="I4" s="299"/>
      <c r="J4" s="299"/>
      <c r="K4" s="299"/>
      <c r="L4" s="299"/>
      <c r="M4" s="299" t="s">
        <v>74</v>
      </c>
      <c r="N4" s="299"/>
      <c r="O4" s="299"/>
      <c r="P4" s="299"/>
      <c r="Q4" s="299"/>
      <c r="R4" s="299" t="s">
        <v>75</v>
      </c>
      <c r="S4" s="299"/>
      <c r="T4" s="299"/>
      <c r="U4" s="299"/>
      <c r="V4" s="299"/>
      <c r="W4" s="305" t="s">
        <v>76</v>
      </c>
      <c r="X4" s="305"/>
      <c r="Y4" s="305" t="s">
        <v>5</v>
      </c>
      <c r="Z4" s="305"/>
      <c r="AA4" s="305" t="s">
        <v>77</v>
      </c>
      <c r="AB4" s="305"/>
      <c r="AC4" s="305" t="s">
        <v>78</v>
      </c>
      <c r="AD4" s="30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</row>
    <row r="5" spans="1:110" ht="47.25" customHeight="1">
      <c r="A5" s="299"/>
      <c r="B5" s="299"/>
      <c r="C5" s="56"/>
      <c r="D5" s="299" t="s">
        <v>79</v>
      </c>
      <c r="E5" s="299"/>
      <c r="F5" s="299" t="s">
        <v>80</v>
      </c>
      <c r="G5" s="299"/>
      <c r="H5" s="299" t="s">
        <v>79</v>
      </c>
      <c r="I5" s="299"/>
      <c r="J5" s="13" t="s">
        <v>81</v>
      </c>
      <c r="K5" s="299" t="s">
        <v>80</v>
      </c>
      <c r="L5" s="299"/>
      <c r="M5" s="299" t="s">
        <v>79</v>
      </c>
      <c r="N5" s="299"/>
      <c r="O5" s="13" t="s">
        <v>81</v>
      </c>
      <c r="P5" s="299" t="s">
        <v>80</v>
      </c>
      <c r="Q5" s="299"/>
      <c r="R5" s="299" t="s">
        <v>79</v>
      </c>
      <c r="S5" s="299"/>
      <c r="T5" s="13" t="s">
        <v>81</v>
      </c>
      <c r="U5" s="299" t="s">
        <v>80</v>
      </c>
      <c r="V5" s="299"/>
      <c r="W5" s="57"/>
      <c r="X5" s="58"/>
      <c r="Y5" s="57"/>
      <c r="Z5" s="58"/>
      <c r="AA5" s="57"/>
      <c r="AB5" s="58"/>
      <c r="AC5" s="57"/>
      <c r="AD5" s="58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</row>
    <row r="6" spans="1:110" ht="36.75" customHeight="1">
      <c r="A6" s="299"/>
      <c r="B6" s="299"/>
      <c r="C6" s="56"/>
      <c r="D6" s="59" t="s">
        <v>6</v>
      </c>
      <c r="E6" s="59" t="s">
        <v>7</v>
      </c>
      <c r="F6" s="59" t="s">
        <v>6</v>
      </c>
      <c r="G6" s="59" t="s">
        <v>7</v>
      </c>
      <c r="H6" s="59" t="s">
        <v>6</v>
      </c>
      <c r="I6" s="59" t="s">
        <v>7</v>
      </c>
      <c r="J6" s="17" t="s">
        <v>82</v>
      </c>
      <c r="K6" s="17" t="s">
        <v>6</v>
      </c>
      <c r="L6" s="17" t="s">
        <v>7</v>
      </c>
      <c r="M6" s="59" t="s">
        <v>6</v>
      </c>
      <c r="N6" s="17" t="s">
        <v>7</v>
      </c>
      <c r="O6" s="17" t="s">
        <v>82</v>
      </c>
      <c r="P6" s="17" t="s">
        <v>6</v>
      </c>
      <c r="Q6" s="17" t="s">
        <v>7</v>
      </c>
      <c r="R6" s="17" t="s">
        <v>6</v>
      </c>
      <c r="S6" s="17" t="s">
        <v>7</v>
      </c>
      <c r="T6" s="17" t="s">
        <v>82</v>
      </c>
      <c r="U6" s="17" t="s">
        <v>6</v>
      </c>
      <c r="V6" s="17" t="s">
        <v>7</v>
      </c>
      <c r="W6" s="17" t="s">
        <v>83</v>
      </c>
      <c r="X6" s="17" t="s">
        <v>7</v>
      </c>
      <c r="Y6" s="17" t="s">
        <v>83</v>
      </c>
      <c r="Z6" s="17" t="s">
        <v>7</v>
      </c>
      <c r="AA6" s="17" t="s">
        <v>83</v>
      </c>
      <c r="AB6" s="17" t="s">
        <v>7</v>
      </c>
      <c r="AC6" s="17" t="s">
        <v>83</v>
      </c>
      <c r="AD6" s="17" t="s">
        <v>7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</row>
    <row r="7" spans="1:110" ht="15.75" customHeight="1">
      <c r="A7" s="20">
        <v>1</v>
      </c>
      <c r="B7" s="20">
        <v>2</v>
      </c>
      <c r="C7" s="60">
        <v>3</v>
      </c>
      <c r="D7" s="60">
        <v>3</v>
      </c>
      <c r="E7" s="60">
        <v>4</v>
      </c>
      <c r="F7" s="60">
        <v>5</v>
      </c>
      <c r="G7" s="60">
        <v>6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60">
        <v>16</v>
      </c>
      <c r="V7" s="60">
        <v>17</v>
      </c>
      <c r="W7" s="60">
        <v>3</v>
      </c>
      <c r="X7" s="60">
        <v>4</v>
      </c>
      <c r="Y7" s="60">
        <v>5</v>
      </c>
      <c r="Z7" s="60">
        <v>6</v>
      </c>
      <c r="AA7" s="60">
        <v>7</v>
      </c>
      <c r="AB7" s="60">
        <v>8</v>
      </c>
      <c r="AC7" s="60">
        <v>9</v>
      </c>
      <c r="AD7" s="60">
        <v>10</v>
      </c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</row>
    <row r="8" spans="1:31" s="27" customFormat="1" ht="16.5" customHeight="1">
      <c r="A8" s="13">
        <v>1</v>
      </c>
      <c r="B8" s="61" t="s">
        <v>8</v>
      </c>
      <c r="C8" s="62" t="s">
        <v>84</v>
      </c>
      <c r="D8" s="63" t="e">
        <f aca="true" t="shared" si="0" ref="D8:D49">H8+M8+R8</f>
        <v>#REF!</v>
      </c>
      <c r="E8" s="63" t="e">
        <f>'Додаток2 скор'!E8+Додаток3!D12+Додаток4!D11</f>
        <v>#REF!</v>
      </c>
      <c r="F8" s="63" t="e">
        <f aca="true" t="shared" si="1" ref="F8:F49">H8+P8+U8</f>
        <v>#REF!</v>
      </c>
      <c r="G8" s="63" t="e">
        <f>'Додаток2 скор'!G8+Додаток3!D12+Додаток4!D11</f>
        <v>#REF!</v>
      </c>
      <c r="H8" s="63">
        <f>H9+H23+H24+H28</f>
        <v>49560.93476756629</v>
      </c>
      <c r="I8" s="63">
        <f>'Додаток2 скор'!I8+Додаток3!F12+Додаток4!F11</f>
        <v>328.3732075809997</v>
      </c>
      <c r="J8" s="64">
        <f aca="true" t="shared" si="2" ref="J8:J49">IF(H8=0,0,K8/H8)</f>
        <v>0.9999999999999997</v>
      </c>
      <c r="K8" s="63">
        <f>K9+K23+K24+K28</f>
        <v>49560.93476756627</v>
      </c>
      <c r="L8" s="63">
        <f>'Додаток2 скор'!L8+Додаток3!F12+Додаток4!F11</f>
        <v>328.3732075809997</v>
      </c>
      <c r="M8" s="63">
        <f>M9+M23+M24+M28</f>
        <v>44963.17543041671</v>
      </c>
      <c r="N8" s="63">
        <f>'Додаток2 скор'!N8+Додаток3!H12+Додаток4!H11</f>
        <v>773.2572920943794</v>
      </c>
      <c r="O8" s="64">
        <f>P8/M8</f>
        <v>0.8146961570955236</v>
      </c>
      <c r="P8" s="63">
        <f>P9+P23+P24+P28</f>
        <v>36631.32623397236</v>
      </c>
      <c r="Q8" s="63">
        <f>'Додаток2 скор'!Q8+Додаток3!H12+Додаток4!H11</f>
        <v>608.1265973369306</v>
      </c>
      <c r="R8" s="63" t="e">
        <f>R9+R23+R24+R28</f>
        <v>#REF!</v>
      </c>
      <c r="S8" s="63" t="e">
        <f>'Додаток2 скор'!S8+Додаток3!#REF!+Додаток4!#REF!</f>
        <v>#REF!</v>
      </c>
      <c r="T8" s="64" t="e">
        <f>U8/R8</f>
        <v>#REF!</v>
      </c>
      <c r="U8" s="63" t="e">
        <f>U9+U23+U24+U28</f>
        <v>#REF!</v>
      </c>
      <c r="V8" s="63" t="e">
        <f>'Додаток2 скор'!V8+Додаток3!#REF!+Додаток4!#REF!</f>
        <v>#REF!</v>
      </c>
      <c r="W8" s="65">
        <v>18463.34</v>
      </c>
      <c r="X8" s="66">
        <v>301.19</v>
      </c>
      <c r="Y8" s="67">
        <v>12392.62</v>
      </c>
      <c r="Z8" s="66">
        <v>237.51</v>
      </c>
      <c r="AA8" s="67">
        <v>4813.97</v>
      </c>
      <c r="AB8" s="66">
        <v>665.37</v>
      </c>
      <c r="AC8" s="67">
        <v>1256.74</v>
      </c>
      <c r="AD8" s="66">
        <v>665.37</v>
      </c>
      <c r="AE8" s="68"/>
    </row>
    <row r="9" spans="1:31" s="27" customFormat="1" ht="16.5" customHeight="1">
      <c r="A9" s="13" t="s">
        <v>9</v>
      </c>
      <c r="B9" s="61" t="s">
        <v>10</v>
      </c>
      <c r="C9" s="62" t="s">
        <v>84</v>
      </c>
      <c r="D9" s="63" t="e">
        <f t="shared" si="0"/>
        <v>#REF!</v>
      </c>
      <c r="E9" s="63" t="e">
        <f>'Додаток2 скор'!E9+Додаток3!D13+Додаток4!D12</f>
        <v>#REF!</v>
      </c>
      <c r="F9" s="63" t="e">
        <f t="shared" si="1"/>
        <v>#REF!</v>
      </c>
      <c r="G9" s="63" t="e">
        <f>'Додаток2 скор'!G9+Додаток3!D13+Додаток4!D12</f>
        <v>#REF!</v>
      </c>
      <c r="H9" s="63">
        <f>H10+H13+H14+H17+H21+H22+H20</f>
        <v>33347.80504117696</v>
      </c>
      <c r="I9" s="63">
        <f>'Додаток2 скор'!I9+Додаток3!F13+Додаток4!F12</f>
        <v>220.9507499911677</v>
      </c>
      <c r="J9" s="64">
        <f t="shared" si="2"/>
        <v>0.9999999999999998</v>
      </c>
      <c r="K9" s="63">
        <f>SUM(K10:K22)-K10-K14-K17</f>
        <v>33347.80504117695</v>
      </c>
      <c r="L9" s="63">
        <f>'Додаток2 скор'!L9+Додаток3!F13+Додаток4!F12</f>
        <v>220.9507499911677</v>
      </c>
      <c r="M9" s="63">
        <f>M10+M13+M14+M17+M21+M22+M20</f>
        <v>33610.02433300244</v>
      </c>
      <c r="N9" s="63">
        <f>'Додаток2 скор'!N9+Додаток3!H13+Додаток4!H12</f>
        <v>656.7986918154515</v>
      </c>
      <c r="O9" s="64">
        <f>P9/M9</f>
        <v>0.7521022563419234</v>
      </c>
      <c r="P9" s="63">
        <f>P10+P13+P14+P17+P21+P22+P20</f>
        <v>25278.175136558082</v>
      </c>
      <c r="Q9" s="63">
        <f>'Додаток2 скор'!Q9+Додаток3!H13+Додаток4!H12</f>
        <v>491.66799705800275</v>
      </c>
      <c r="R9" s="63" t="e">
        <f>R10+R13+R14+R17+R21+R22+R20</f>
        <v>#REF!</v>
      </c>
      <c r="S9" s="63" t="e">
        <f>'Додаток2 скор'!S9+Додаток3!#REF!+Додаток4!#REF!</f>
        <v>#REF!</v>
      </c>
      <c r="T9" s="64" t="e">
        <f>U9/R9</f>
        <v>#REF!</v>
      </c>
      <c r="U9" s="63" t="e">
        <f>U10+U13+U14+U17+U21+U22+U20</f>
        <v>#REF!</v>
      </c>
      <c r="V9" s="63" t="e">
        <f>'Додаток2 скор'!V9+Додаток3!#REF!+Додаток4!#REF!</f>
        <v>#REF!</v>
      </c>
      <c r="W9" s="65">
        <v>16016.67</v>
      </c>
      <c r="X9" s="66">
        <v>261.28</v>
      </c>
      <c r="Y9" s="67">
        <v>10310.1</v>
      </c>
      <c r="Z9" s="66">
        <v>197.59</v>
      </c>
      <c r="AA9" s="67">
        <v>4525.21</v>
      </c>
      <c r="AB9" s="66">
        <v>625.46</v>
      </c>
      <c r="AC9" s="67">
        <v>1181.36</v>
      </c>
      <c r="AD9" s="66">
        <v>625.46</v>
      </c>
      <c r="AE9" s="68"/>
    </row>
    <row r="10" spans="1:110" s="34" customFormat="1" ht="16.5" customHeight="1">
      <c r="A10" s="28" t="s">
        <v>11</v>
      </c>
      <c r="B10" s="35" t="s">
        <v>85</v>
      </c>
      <c r="C10" s="69" t="s">
        <v>84</v>
      </c>
      <c r="D10" s="70">
        <f t="shared" si="0"/>
        <v>63225</v>
      </c>
      <c r="E10" s="70">
        <f>'Додаток2 скор'!E10</f>
        <v>298.3150965179681</v>
      </c>
      <c r="F10" s="70">
        <f t="shared" si="1"/>
        <v>54287.13590669442</v>
      </c>
      <c r="G10" s="70">
        <f>'Додаток2 скор'!G10</f>
        <v>256.14349051308176</v>
      </c>
      <c r="H10" s="70">
        <f>'Додаток2 скор'!H10</f>
        <v>26176.1</v>
      </c>
      <c r="I10" s="70">
        <f>'Додаток2 скор'!I10</f>
        <v>173.43357140604422</v>
      </c>
      <c r="J10" s="71">
        <f t="shared" si="2"/>
        <v>1</v>
      </c>
      <c r="K10" s="70">
        <f>'Додаток2 скор'!K10</f>
        <v>26176.1</v>
      </c>
      <c r="L10" s="70">
        <f>'Додаток2 скор'!L10</f>
        <v>173.43357140604422</v>
      </c>
      <c r="M10" s="70">
        <f>'Додаток2 скор'!M10</f>
        <v>30639.109</v>
      </c>
      <c r="N10" s="70">
        <f>'Додаток2 скор'!N10</f>
        <v>607.2430305241647</v>
      </c>
      <c r="O10" s="71">
        <f aca="true" t="shared" si="3" ref="O10:O22">IF(M10=0,0,P10/M10)</f>
        <v>0.7280648991312262</v>
      </c>
      <c r="P10" s="70">
        <f>'Додаток2 скор'!P10</f>
        <v>22307.259803555644</v>
      </c>
      <c r="Q10" s="70">
        <f>'Додаток2 скор'!Q10</f>
        <v>442.1123357667161</v>
      </c>
      <c r="R10" s="70">
        <f>'Додаток2 скор'!R10</f>
        <v>6409.791</v>
      </c>
      <c r="S10" s="70">
        <f>'Додаток2 скор'!S10</f>
        <v>607.2431022134307</v>
      </c>
      <c r="T10" s="71">
        <f aca="true" t="shared" si="4" ref="T10:T21">IF(R10=0,0,U10/R10)</f>
        <v>0.9054548117308004</v>
      </c>
      <c r="U10" s="70">
        <f>'Додаток2 скор'!U10</f>
        <v>5803.776103138779</v>
      </c>
      <c r="V10" s="70">
        <f>'Додаток2 скор'!V10</f>
        <v>549.8311887894891</v>
      </c>
      <c r="W10" s="72">
        <v>13921.04</v>
      </c>
      <c r="X10" s="73">
        <v>227.09</v>
      </c>
      <c r="Y10" s="74">
        <v>8526.37</v>
      </c>
      <c r="Z10" s="73">
        <v>163.41</v>
      </c>
      <c r="AA10" s="74">
        <v>4277.88</v>
      </c>
      <c r="AB10" s="75">
        <v>591.28</v>
      </c>
      <c r="AC10" s="74">
        <v>1116.79</v>
      </c>
      <c r="AD10" s="75">
        <v>591.27</v>
      </c>
      <c r="AE10" s="68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</row>
    <row r="11" spans="1:110" s="34" customFormat="1" ht="16.5" customHeight="1">
      <c r="A11" s="28" t="s">
        <v>86</v>
      </c>
      <c r="B11" s="35" t="s">
        <v>87</v>
      </c>
      <c r="C11" s="69"/>
      <c r="D11" s="70">
        <f t="shared" si="0"/>
        <v>63225</v>
      </c>
      <c r="E11" s="70">
        <f>'Додаток2 скор'!E11</f>
        <v>298.3150965179681</v>
      </c>
      <c r="F11" s="70">
        <f t="shared" si="1"/>
        <v>54287.13590669442</v>
      </c>
      <c r="G11" s="70">
        <f>'Додаток2 скор'!G11</f>
        <v>256.14349051308176</v>
      </c>
      <c r="H11" s="70">
        <f>'Додаток2 скор'!H11</f>
        <v>26176.1</v>
      </c>
      <c r="I11" s="70">
        <f>'Додаток2 скор'!I11</f>
        <v>173.43357140604422</v>
      </c>
      <c r="J11" s="71">
        <f t="shared" si="2"/>
        <v>1</v>
      </c>
      <c r="K11" s="70">
        <f>'Додаток2 скор'!K11</f>
        <v>26176.1</v>
      </c>
      <c r="L11" s="70">
        <f>'Додаток2 скор'!L11</f>
        <v>173.43357140604422</v>
      </c>
      <c r="M11" s="70">
        <f>'Додаток2 скор'!M11</f>
        <v>30639.109</v>
      </c>
      <c r="N11" s="70">
        <f>'Додаток2 скор'!N11</f>
        <v>607.2430305241647</v>
      </c>
      <c r="O11" s="71">
        <f t="shared" si="3"/>
        <v>0.7280648991312262</v>
      </c>
      <c r="P11" s="70">
        <f>'Додаток2 скор'!P11</f>
        <v>22307.259803555644</v>
      </c>
      <c r="Q11" s="70">
        <f>'Додаток2 скор'!Q11</f>
        <v>442.1123357667161</v>
      </c>
      <c r="R11" s="70">
        <f>'Додаток2 скор'!R11</f>
        <v>6409.791</v>
      </c>
      <c r="S11" s="70">
        <f>'Додаток2 скор'!S11</f>
        <v>607.2431022134307</v>
      </c>
      <c r="T11" s="71">
        <f t="shared" si="4"/>
        <v>0.9054548117308004</v>
      </c>
      <c r="U11" s="70">
        <f>'Додаток2 скор'!U11</f>
        <v>5803.776103138779</v>
      </c>
      <c r="V11" s="70">
        <f>'Додаток2 скор'!V11</f>
        <v>549.8311887894891</v>
      </c>
      <c r="W11" s="72"/>
      <c r="X11" s="73"/>
      <c r="Y11" s="74"/>
      <c r="Z11" s="73"/>
      <c r="AA11" s="74"/>
      <c r="AB11" s="75"/>
      <c r="AC11" s="74"/>
      <c r="AD11" s="75"/>
      <c r="AE11" s="68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</row>
    <row r="12" spans="1:110" s="34" customFormat="1" ht="16.5" customHeight="1">
      <c r="A12" s="28" t="s">
        <v>88</v>
      </c>
      <c r="B12" s="35" t="s">
        <v>89</v>
      </c>
      <c r="C12" s="69"/>
      <c r="D12" s="70">
        <f t="shared" si="0"/>
        <v>0</v>
      </c>
      <c r="E12" s="70">
        <f>'Додаток2 скор'!E12</f>
        <v>0</v>
      </c>
      <c r="F12" s="70">
        <f t="shared" si="1"/>
        <v>0</v>
      </c>
      <c r="G12" s="70">
        <f>'Додаток2 скор'!G12</f>
        <v>0</v>
      </c>
      <c r="H12" s="70">
        <f>'Додаток2 скор'!H12</f>
        <v>0</v>
      </c>
      <c r="I12" s="70">
        <f>'Додаток2 скор'!I12</f>
        <v>0</v>
      </c>
      <c r="J12" s="71">
        <f t="shared" si="2"/>
        <v>0</v>
      </c>
      <c r="K12" s="70">
        <f>'Додаток2 скор'!K12</f>
        <v>0</v>
      </c>
      <c r="L12" s="70">
        <f>'Додаток2 скор'!L12</f>
        <v>0</v>
      </c>
      <c r="M12" s="70">
        <f>'Додаток2 скор'!M12</f>
        <v>0</v>
      </c>
      <c r="N12" s="70">
        <f>'Додаток2 скор'!N12</f>
        <v>0</v>
      </c>
      <c r="O12" s="71">
        <f t="shared" si="3"/>
        <v>0</v>
      </c>
      <c r="P12" s="70">
        <f>'Додаток2 скор'!P12</f>
        <v>0</v>
      </c>
      <c r="Q12" s="70">
        <f>'Додаток2 скор'!Q12</f>
        <v>0</v>
      </c>
      <c r="R12" s="70">
        <f>'Додаток2 скор'!R12</f>
        <v>0</v>
      </c>
      <c r="S12" s="70">
        <f>'Додаток2 скор'!S12</f>
        <v>0</v>
      </c>
      <c r="T12" s="71">
        <f t="shared" si="4"/>
        <v>0</v>
      </c>
      <c r="U12" s="70">
        <f>'Додаток2 скор'!U12</f>
        <v>0</v>
      </c>
      <c r="V12" s="70">
        <f>'Додаток2 скор'!V12</f>
        <v>0</v>
      </c>
      <c r="W12" s="72"/>
      <c r="X12" s="73"/>
      <c r="Y12" s="74"/>
      <c r="Z12" s="73"/>
      <c r="AA12" s="74"/>
      <c r="AB12" s="75"/>
      <c r="AC12" s="74"/>
      <c r="AD12" s="75"/>
      <c r="AE12" s="68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</row>
    <row r="13" spans="1:110" s="34" customFormat="1" ht="16.5" customHeight="1">
      <c r="A13" s="28" t="s">
        <v>13</v>
      </c>
      <c r="B13" s="35" t="s">
        <v>90</v>
      </c>
      <c r="C13" s="69" t="s">
        <v>84</v>
      </c>
      <c r="D13" s="70" t="e">
        <f t="shared" si="0"/>
        <v>#REF!</v>
      </c>
      <c r="E13" s="70" t="e">
        <f>'Додаток2 скор'!E13+Додаток3!D14</f>
        <v>#REF!</v>
      </c>
      <c r="F13" s="70" t="e">
        <f t="shared" si="1"/>
        <v>#REF!</v>
      </c>
      <c r="G13" s="70" t="e">
        <f>'Додаток2 скор'!G13+Додаток3!D14</f>
        <v>#REF!</v>
      </c>
      <c r="H13" s="70">
        <f>'Додаток2 скор'!H13+Додаток3!E14</f>
        <v>6441.724128157798</v>
      </c>
      <c r="I13" s="70">
        <f>'Додаток2 скор'!I13+Додаток3!F14</f>
        <v>42.68058349253302</v>
      </c>
      <c r="J13" s="71">
        <f t="shared" si="2"/>
        <v>1</v>
      </c>
      <c r="K13" s="70">
        <f>'Додаток2 скор'!K13+Додаток3!E14</f>
        <v>6441.724128157798</v>
      </c>
      <c r="L13" s="70">
        <f>'Додаток2 скор'!L13+Додаток3!F14</f>
        <v>42.68058349253302</v>
      </c>
      <c r="M13" s="70">
        <f>'Додаток2 скор'!M13+Додаток3!G14</f>
        <v>2704.2483921204666</v>
      </c>
      <c r="N13" s="70">
        <f>'Додаток2 скор'!N13+Додаток3!H14</f>
        <v>44.719047388823626</v>
      </c>
      <c r="O13" s="71">
        <f t="shared" si="3"/>
        <v>1</v>
      </c>
      <c r="P13" s="70">
        <f>'Додаток2 скор'!P13+Додаток3!G14</f>
        <v>2704.2483921204666</v>
      </c>
      <c r="Q13" s="70">
        <f>'Додаток2 скор'!Q13+Додаток3!H14</f>
        <v>44.719047388823626</v>
      </c>
      <c r="R13" s="70" t="e">
        <f>'Додаток2 скор'!R13+Додаток3!#REF!</f>
        <v>#REF!</v>
      </c>
      <c r="S13" s="70" t="e">
        <f>'Додаток2 скор'!S13+Додаток3!#REF!</f>
        <v>#REF!</v>
      </c>
      <c r="T13" s="71" t="e">
        <f t="shared" si="4"/>
        <v>#REF!</v>
      </c>
      <c r="U13" s="70" t="e">
        <f>'Додаток2 скор'!U13+Додаток3!#REF!</f>
        <v>#REF!</v>
      </c>
      <c r="V13" s="70" t="e">
        <f>'Додаток2 скор'!V13+Додаток3!#REF!</f>
        <v>#REF!</v>
      </c>
      <c r="W13" s="76">
        <v>1850</v>
      </c>
      <c r="X13" s="73">
        <v>30.18</v>
      </c>
      <c r="Y13" s="74">
        <v>1574.65</v>
      </c>
      <c r="Z13" s="73">
        <v>30.18</v>
      </c>
      <c r="AA13" s="74">
        <v>218.34</v>
      </c>
      <c r="AB13" s="75">
        <v>30.18</v>
      </c>
      <c r="AC13" s="74">
        <v>57</v>
      </c>
      <c r="AD13" s="75">
        <v>30.18</v>
      </c>
      <c r="AE13" s="68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</row>
    <row r="14" spans="1:110" s="34" customFormat="1" ht="21" customHeight="1">
      <c r="A14" s="28" t="s">
        <v>15</v>
      </c>
      <c r="B14" s="35" t="s">
        <v>91</v>
      </c>
      <c r="C14" s="69" t="s">
        <v>84</v>
      </c>
      <c r="D14" s="70">
        <f t="shared" si="0"/>
        <v>0</v>
      </c>
      <c r="E14" s="70">
        <f>'Додаток2 скор'!E14</f>
        <v>0</v>
      </c>
      <c r="F14" s="70">
        <f t="shared" si="1"/>
        <v>0</v>
      </c>
      <c r="G14" s="70">
        <f>'Додаток2 скор'!G14</f>
        <v>0</v>
      </c>
      <c r="H14" s="70">
        <f>'Додаток2 скор'!H14</f>
        <v>0</v>
      </c>
      <c r="I14" s="70">
        <f>'Додаток2 скор'!I14</f>
        <v>0</v>
      </c>
      <c r="J14" s="71">
        <f t="shared" si="2"/>
        <v>0</v>
      </c>
      <c r="K14" s="70">
        <f>'Додаток2 скор'!K14</f>
        <v>0</v>
      </c>
      <c r="L14" s="70">
        <f>'Додаток2 скор'!L14</f>
        <v>0</v>
      </c>
      <c r="M14" s="70">
        <f>'Додаток2 скор'!M14</f>
        <v>0</v>
      </c>
      <c r="N14" s="70">
        <f>'Додаток2 скор'!N14</f>
        <v>0</v>
      </c>
      <c r="O14" s="71">
        <f t="shared" si="3"/>
        <v>0</v>
      </c>
      <c r="P14" s="70">
        <f>'Додаток2 скор'!P14</f>
        <v>0</v>
      </c>
      <c r="Q14" s="70">
        <f>'Додаток2 скор'!Q14</f>
        <v>0</v>
      </c>
      <c r="R14" s="70">
        <f>'Додаток2 скор'!R14</f>
        <v>0</v>
      </c>
      <c r="S14" s="70">
        <f>'Додаток2 скор'!S14</f>
        <v>0</v>
      </c>
      <c r="T14" s="71">
        <f t="shared" si="4"/>
        <v>0</v>
      </c>
      <c r="U14" s="70">
        <f>'Додаток2 скор'!U14</f>
        <v>0</v>
      </c>
      <c r="V14" s="70">
        <f>'Додаток2 скор'!V14</f>
        <v>0</v>
      </c>
      <c r="W14" s="76">
        <v>0</v>
      </c>
      <c r="X14" s="73">
        <v>0</v>
      </c>
      <c r="Y14" s="74">
        <v>0</v>
      </c>
      <c r="Z14" s="73">
        <v>0</v>
      </c>
      <c r="AA14" s="74">
        <v>0</v>
      </c>
      <c r="AB14" s="75">
        <v>0</v>
      </c>
      <c r="AC14" s="74">
        <v>0</v>
      </c>
      <c r="AD14" s="75">
        <v>0</v>
      </c>
      <c r="AE14" s="68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</row>
    <row r="15" spans="1:110" s="34" customFormat="1" ht="15.75" customHeight="1">
      <c r="A15" s="28" t="s">
        <v>92</v>
      </c>
      <c r="B15" s="35"/>
      <c r="C15" s="69"/>
      <c r="D15" s="70">
        <f t="shared" si="0"/>
        <v>0</v>
      </c>
      <c r="E15" s="70">
        <f>'Додаток2 скор'!E15</f>
        <v>0</v>
      </c>
      <c r="F15" s="70">
        <f t="shared" si="1"/>
        <v>0</v>
      </c>
      <c r="G15" s="70">
        <f>'Додаток2 скор'!G15</f>
        <v>0</v>
      </c>
      <c r="H15" s="70">
        <f>'Додаток2 скор'!H15</f>
        <v>0</v>
      </c>
      <c r="I15" s="70">
        <f>'Додаток2 скор'!I15</f>
        <v>0</v>
      </c>
      <c r="J15" s="71">
        <f t="shared" si="2"/>
        <v>0</v>
      </c>
      <c r="K15" s="70">
        <f>'Додаток2 скор'!K15</f>
        <v>0</v>
      </c>
      <c r="L15" s="70">
        <f>'Додаток2 скор'!L15</f>
        <v>0</v>
      </c>
      <c r="M15" s="70">
        <f>'Додаток2 скор'!M15</f>
        <v>0</v>
      </c>
      <c r="N15" s="70">
        <f>'Додаток2 скор'!N14</f>
        <v>0</v>
      </c>
      <c r="O15" s="71">
        <f t="shared" si="3"/>
        <v>0</v>
      </c>
      <c r="P15" s="70">
        <f>'Додаток2 скор'!P15</f>
        <v>0</v>
      </c>
      <c r="Q15" s="70">
        <f>'Додаток2 скор'!Q15</f>
        <v>0</v>
      </c>
      <c r="R15" s="70">
        <f>'Додаток2 скор'!R15</f>
        <v>0</v>
      </c>
      <c r="S15" s="70">
        <f>'Додаток2 скор'!S15</f>
        <v>0</v>
      </c>
      <c r="T15" s="71">
        <f t="shared" si="4"/>
        <v>0</v>
      </c>
      <c r="U15" s="70">
        <f>'Додаток2 скор'!U15</f>
        <v>0</v>
      </c>
      <c r="V15" s="70">
        <f>'Додаток2 скор'!V15</f>
        <v>0</v>
      </c>
      <c r="W15" s="76"/>
      <c r="X15" s="73"/>
      <c r="Y15" s="74"/>
      <c r="Z15" s="73"/>
      <c r="AA15" s="74"/>
      <c r="AB15" s="75"/>
      <c r="AC15" s="74"/>
      <c r="AD15" s="75"/>
      <c r="AE15" s="68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</row>
    <row r="16" spans="1:110" s="34" customFormat="1" ht="15.75" customHeight="1">
      <c r="A16" s="28" t="s">
        <v>93</v>
      </c>
      <c r="B16" s="77"/>
      <c r="C16" s="69"/>
      <c r="D16" s="70">
        <f t="shared" si="0"/>
        <v>0</v>
      </c>
      <c r="E16" s="70">
        <f>'Додаток2 скор'!E16</f>
        <v>0</v>
      </c>
      <c r="F16" s="70">
        <f t="shared" si="1"/>
        <v>0</v>
      </c>
      <c r="G16" s="70">
        <f>'Додаток2 скор'!G16</f>
        <v>0</v>
      </c>
      <c r="H16" s="70">
        <f>'Додаток2 скор'!H16</f>
        <v>0</v>
      </c>
      <c r="I16" s="70">
        <f>'Додаток2 скор'!I16</f>
        <v>0</v>
      </c>
      <c r="J16" s="71">
        <f t="shared" si="2"/>
        <v>0</v>
      </c>
      <c r="K16" s="70">
        <f>'Додаток2 скор'!K16</f>
        <v>0</v>
      </c>
      <c r="L16" s="70">
        <f>'Додаток2 скор'!L16</f>
        <v>0</v>
      </c>
      <c r="M16" s="70">
        <f>'Додаток2 скор'!M16</f>
        <v>0</v>
      </c>
      <c r="N16" s="70">
        <f>'Додаток2 скор'!N16</f>
        <v>0</v>
      </c>
      <c r="O16" s="71">
        <f t="shared" si="3"/>
        <v>0</v>
      </c>
      <c r="P16" s="70">
        <f>'Додаток2 скор'!P16</f>
        <v>0</v>
      </c>
      <c r="Q16" s="70">
        <f>'Додаток2 скор'!Q16</f>
        <v>0</v>
      </c>
      <c r="R16" s="70">
        <f>'Додаток2 скор'!R16</f>
        <v>0</v>
      </c>
      <c r="S16" s="70">
        <f>'Додаток2 скор'!S16</f>
        <v>0</v>
      </c>
      <c r="T16" s="71">
        <f t="shared" si="4"/>
        <v>0</v>
      </c>
      <c r="U16" s="70">
        <f>'Додаток2 скор'!U16</f>
        <v>0</v>
      </c>
      <c r="V16" s="70">
        <f>'Додаток2 скор'!V16</f>
        <v>0</v>
      </c>
      <c r="W16" s="76"/>
      <c r="X16" s="73"/>
      <c r="Y16" s="74"/>
      <c r="Z16" s="73"/>
      <c r="AA16" s="74"/>
      <c r="AB16" s="75"/>
      <c r="AC16" s="74"/>
      <c r="AD16" s="75"/>
      <c r="AE16" s="68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</row>
    <row r="17" spans="1:110" s="34" customFormat="1" ht="15.75" customHeight="1">
      <c r="A17" s="28" t="s">
        <v>17</v>
      </c>
      <c r="B17" s="35" t="s">
        <v>94</v>
      </c>
      <c r="C17" s="69"/>
      <c r="D17" s="70">
        <f t="shared" si="0"/>
        <v>0</v>
      </c>
      <c r="E17" s="70">
        <f>'Додаток2 скор'!E17</f>
        <v>0</v>
      </c>
      <c r="F17" s="70">
        <f t="shared" si="1"/>
        <v>0</v>
      </c>
      <c r="G17" s="70">
        <f>'Додаток2 скор'!G17</f>
        <v>0</v>
      </c>
      <c r="H17" s="70">
        <f>'Додаток2 скор'!H17</f>
        <v>0</v>
      </c>
      <c r="I17" s="70">
        <f>'Додаток2 скор'!I17</f>
        <v>0</v>
      </c>
      <c r="J17" s="71">
        <f t="shared" si="2"/>
        <v>0</v>
      </c>
      <c r="K17" s="70">
        <f>'Додаток2 скор'!K17</f>
        <v>0</v>
      </c>
      <c r="L17" s="70">
        <f>'Додаток2 скор'!L17</f>
        <v>0</v>
      </c>
      <c r="M17" s="70">
        <f>'Додаток2 скор'!M17</f>
        <v>0</v>
      </c>
      <c r="N17" s="70">
        <f>'Додаток2 скор'!N17</f>
        <v>0</v>
      </c>
      <c r="O17" s="71">
        <f t="shared" si="3"/>
        <v>0</v>
      </c>
      <c r="P17" s="70">
        <f>'Додаток2 скор'!P17</f>
        <v>0</v>
      </c>
      <c r="Q17" s="70">
        <f>'Додаток2 скор'!Q17</f>
        <v>0</v>
      </c>
      <c r="R17" s="70">
        <f>'Додаток2 скор'!R17</f>
        <v>0</v>
      </c>
      <c r="S17" s="70">
        <f>'Додаток2 скор'!S17</f>
        <v>0</v>
      </c>
      <c r="T17" s="71">
        <f t="shared" si="4"/>
        <v>0</v>
      </c>
      <c r="U17" s="70">
        <f>'Додаток2 скор'!U17</f>
        <v>0</v>
      </c>
      <c r="V17" s="70">
        <f>'Додаток2 скор'!V17</f>
        <v>0</v>
      </c>
      <c r="W17" s="76"/>
      <c r="X17" s="73"/>
      <c r="Y17" s="74"/>
      <c r="Z17" s="73"/>
      <c r="AA17" s="74"/>
      <c r="AB17" s="75"/>
      <c r="AC17" s="74"/>
      <c r="AD17" s="75"/>
      <c r="AE17" s="68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</row>
    <row r="18" spans="1:110" s="34" customFormat="1" ht="15.75" customHeight="1">
      <c r="A18" s="28" t="s">
        <v>95</v>
      </c>
      <c r="B18" s="35"/>
      <c r="C18" s="69"/>
      <c r="D18" s="70">
        <f t="shared" si="0"/>
        <v>0</v>
      </c>
      <c r="E18" s="70">
        <f>'Додаток2 скор'!E18</f>
        <v>0</v>
      </c>
      <c r="F18" s="70">
        <f t="shared" si="1"/>
        <v>0</v>
      </c>
      <c r="G18" s="70">
        <f>'Додаток2 скор'!G18</f>
        <v>0</v>
      </c>
      <c r="H18" s="70">
        <f>'Додаток2 скор'!H18</f>
        <v>0</v>
      </c>
      <c r="I18" s="70">
        <f>'Додаток2 скор'!I18</f>
        <v>0</v>
      </c>
      <c r="J18" s="71">
        <f t="shared" si="2"/>
        <v>0</v>
      </c>
      <c r="K18" s="70">
        <f>'Додаток2 скор'!K18</f>
        <v>0</v>
      </c>
      <c r="L18" s="70">
        <f>'Додаток2 скор'!L18</f>
        <v>0</v>
      </c>
      <c r="M18" s="70">
        <f>'Додаток2 скор'!M18</f>
        <v>0</v>
      </c>
      <c r="N18" s="70">
        <f>'Додаток2 скор'!N18</f>
        <v>0</v>
      </c>
      <c r="O18" s="71">
        <f t="shared" si="3"/>
        <v>0</v>
      </c>
      <c r="P18" s="70">
        <f>'Додаток2 скор'!P18</f>
        <v>0</v>
      </c>
      <c r="Q18" s="70">
        <f>'Додаток2 скор'!Q18</f>
        <v>0</v>
      </c>
      <c r="R18" s="70">
        <f>'Додаток2 скор'!R18</f>
        <v>0</v>
      </c>
      <c r="S18" s="70">
        <f>'Додаток2 скор'!S18</f>
        <v>0</v>
      </c>
      <c r="T18" s="71">
        <f t="shared" si="4"/>
        <v>0</v>
      </c>
      <c r="U18" s="70">
        <f>'Додаток2 скор'!U18</f>
        <v>0</v>
      </c>
      <c r="V18" s="70">
        <f>'Додаток2 скор'!V18</f>
        <v>0</v>
      </c>
      <c r="W18" s="76"/>
      <c r="X18" s="73"/>
      <c r="Y18" s="74"/>
      <c r="Z18" s="73"/>
      <c r="AA18" s="74"/>
      <c r="AB18" s="75"/>
      <c r="AC18" s="74"/>
      <c r="AD18" s="75"/>
      <c r="AE18" s="68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</row>
    <row r="19" spans="1:110" s="34" customFormat="1" ht="15.75" customHeight="1">
      <c r="A19" s="28" t="s">
        <v>96</v>
      </c>
      <c r="B19" s="35"/>
      <c r="C19" s="69"/>
      <c r="D19" s="70">
        <f t="shared" si="0"/>
        <v>0</v>
      </c>
      <c r="E19" s="70">
        <f>'Додаток2 скор'!E19</f>
        <v>0</v>
      </c>
      <c r="F19" s="70">
        <f t="shared" si="1"/>
        <v>0</v>
      </c>
      <c r="G19" s="70">
        <f>'Додаток2 скор'!G19</f>
        <v>0</v>
      </c>
      <c r="H19" s="70">
        <f>'Додаток2 скор'!H19</f>
        <v>0</v>
      </c>
      <c r="I19" s="70">
        <f>'Додаток2 скор'!I19</f>
        <v>0</v>
      </c>
      <c r="J19" s="71">
        <f t="shared" si="2"/>
        <v>0</v>
      </c>
      <c r="K19" s="70">
        <f>'Додаток2 скор'!K19</f>
        <v>0</v>
      </c>
      <c r="L19" s="70">
        <f>'Додаток2 скор'!L19</f>
        <v>0</v>
      </c>
      <c r="M19" s="70">
        <f>'Додаток2 скор'!M19</f>
        <v>0</v>
      </c>
      <c r="N19" s="70">
        <f>'Додаток2 скор'!N19</f>
        <v>0</v>
      </c>
      <c r="O19" s="71">
        <f t="shared" si="3"/>
        <v>0</v>
      </c>
      <c r="P19" s="70">
        <f>'Додаток2 скор'!P19</f>
        <v>0</v>
      </c>
      <c r="Q19" s="70">
        <f>'Додаток2 скор'!Q19</f>
        <v>0</v>
      </c>
      <c r="R19" s="70">
        <f>'Додаток2 скор'!R19</f>
        <v>0</v>
      </c>
      <c r="S19" s="70">
        <f>'Додаток2 скор'!S19</f>
        <v>0</v>
      </c>
      <c r="T19" s="71">
        <f t="shared" si="4"/>
        <v>0</v>
      </c>
      <c r="U19" s="70">
        <f>'Додаток2 скор'!U19</f>
        <v>0</v>
      </c>
      <c r="V19" s="70">
        <f>'Додаток2 скор'!V19</f>
        <v>0</v>
      </c>
      <c r="W19" s="76"/>
      <c r="X19" s="73"/>
      <c r="Y19" s="74"/>
      <c r="Z19" s="73"/>
      <c r="AA19" s="74"/>
      <c r="AB19" s="75"/>
      <c r="AC19" s="74"/>
      <c r="AD19" s="75"/>
      <c r="AE19" s="68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</row>
    <row r="20" spans="1:110" s="84" customFormat="1" ht="31.5">
      <c r="A20" s="28" t="s">
        <v>19</v>
      </c>
      <c r="B20" s="35" t="str">
        <f>Додаток3!B15</f>
        <v>транспортування теплової енергії тепловими мережами інших підприємств </v>
      </c>
      <c r="C20" s="69"/>
      <c r="D20" s="70" t="e">
        <f t="shared" si="0"/>
        <v>#REF!</v>
      </c>
      <c r="E20" s="70" t="e">
        <f>Додаток3!D15</f>
        <v>#REF!</v>
      </c>
      <c r="F20" s="70" t="e">
        <f t="shared" si="1"/>
        <v>#REF!</v>
      </c>
      <c r="G20" s="70" t="e">
        <f>F20/F51*1000</f>
        <v>#REF!</v>
      </c>
      <c r="H20" s="70">
        <f>Додаток3!E15</f>
        <v>0</v>
      </c>
      <c r="I20" s="70">
        <f>Додаток3!F15</f>
        <v>0</v>
      </c>
      <c r="J20" s="71">
        <f t="shared" si="2"/>
        <v>0</v>
      </c>
      <c r="K20" s="70">
        <f>Додаток3!E15</f>
        <v>0</v>
      </c>
      <c r="L20" s="70">
        <f>Додаток3!F15</f>
        <v>0</v>
      </c>
      <c r="M20" s="70">
        <f>Додаток3!G15</f>
        <v>0</v>
      </c>
      <c r="N20" s="70">
        <f>Додаток3!H15</f>
        <v>0</v>
      </c>
      <c r="O20" s="71">
        <f t="shared" si="3"/>
        <v>0</v>
      </c>
      <c r="P20" s="70">
        <f>Додаток3!G15</f>
        <v>0</v>
      </c>
      <c r="Q20" s="70">
        <f>Додаток3!H15</f>
        <v>0</v>
      </c>
      <c r="R20" s="70" t="e">
        <f>Додаток3!#REF!</f>
        <v>#REF!</v>
      </c>
      <c r="S20" s="70" t="e">
        <f>Додаток3!#REF!</f>
        <v>#REF!</v>
      </c>
      <c r="T20" s="71" t="e">
        <f t="shared" si="4"/>
        <v>#REF!</v>
      </c>
      <c r="U20" s="70" t="e">
        <f>Додаток3!#REF!</f>
        <v>#REF!</v>
      </c>
      <c r="V20" s="70" t="e">
        <f>Додаток3!#REF!</f>
        <v>#REF!</v>
      </c>
      <c r="W20" s="78"/>
      <c r="X20" s="79"/>
      <c r="Y20" s="80"/>
      <c r="Z20" s="79"/>
      <c r="AA20" s="80"/>
      <c r="AB20" s="81"/>
      <c r="AC20" s="80"/>
      <c r="AD20" s="81"/>
      <c r="AE20" s="82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</row>
    <row r="21" spans="1:110" s="34" customFormat="1" ht="17.25" customHeight="1">
      <c r="A21" s="28" t="s">
        <v>21</v>
      </c>
      <c r="B21" s="35" t="s">
        <v>22</v>
      </c>
      <c r="C21" s="69" t="s">
        <v>84</v>
      </c>
      <c r="D21" s="70" t="e">
        <f t="shared" si="0"/>
        <v>#REF!</v>
      </c>
      <c r="E21" s="70" t="e">
        <f>'Додаток2 скор'!E20+Додаток3!D16</f>
        <v>#REF!</v>
      </c>
      <c r="F21" s="70" t="e">
        <f t="shared" si="1"/>
        <v>#REF!</v>
      </c>
      <c r="G21" s="70" t="e">
        <f>'Додаток2 скор'!G20+Додаток3!D16</f>
        <v>#REF!</v>
      </c>
      <c r="H21" s="70">
        <f>'Додаток2 скор'!H20+Додаток3!E16</f>
        <v>578.299720057403</v>
      </c>
      <c r="I21" s="70">
        <f>'Додаток2 скор'!I20+Додаток3!F16</f>
        <v>3.83160920812004</v>
      </c>
      <c r="J21" s="71">
        <f t="shared" si="2"/>
        <v>1</v>
      </c>
      <c r="K21" s="70">
        <f>'Додаток2 скор'!K20+Додаток3!E16</f>
        <v>578.299720057403</v>
      </c>
      <c r="L21" s="70">
        <f>'Додаток2 скор'!L20+Додаток3!F16</f>
        <v>3.83160920812004</v>
      </c>
      <c r="M21" s="70">
        <f>'Додаток2 скор'!M20+Додаток3!G16</f>
        <v>196.56851413981474</v>
      </c>
      <c r="N21" s="70">
        <f>'Додаток2 скор'!N20+Додаток3!H16</f>
        <v>3.8315805989207368</v>
      </c>
      <c r="O21" s="71">
        <f t="shared" si="3"/>
        <v>1</v>
      </c>
      <c r="P21" s="70">
        <f>'Додаток2 скор'!P20+Додаток3!G16</f>
        <v>196.56851413981474</v>
      </c>
      <c r="Q21" s="70">
        <f>'Додаток2 скор'!Q20+Додаток3!H16</f>
        <v>3.8315805989207368</v>
      </c>
      <c r="R21" s="70" t="e">
        <f>'Додаток2 скор'!R20+Додаток3!#REF!</f>
        <v>#REF!</v>
      </c>
      <c r="S21" s="70" t="e">
        <f>'Додаток2 скор'!S20+Додаток3!#REF!</f>
        <v>#REF!</v>
      </c>
      <c r="T21" s="71" t="e">
        <f t="shared" si="4"/>
        <v>#REF!</v>
      </c>
      <c r="U21" s="70" t="e">
        <f>'Додаток2 скор'!U20+Додаток3!#REF!</f>
        <v>#REF!</v>
      </c>
      <c r="V21" s="70" t="e">
        <f>'Додаток2 скор'!V20+Додаток3!#REF!</f>
        <v>#REF!</v>
      </c>
      <c r="W21" s="76">
        <v>28.12</v>
      </c>
      <c r="X21" s="73">
        <v>0.46</v>
      </c>
      <c r="Y21" s="74">
        <v>23.93</v>
      </c>
      <c r="Z21" s="73">
        <v>0.46</v>
      </c>
      <c r="AA21" s="74">
        <v>3.32</v>
      </c>
      <c r="AB21" s="75">
        <v>0.46</v>
      </c>
      <c r="AC21" s="74">
        <v>0.87</v>
      </c>
      <c r="AD21" s="75">
        <v>0.46</v>
      </c>
      <c r="AE21" s="68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</row>
    <row r="22" spans="1:110" s="34" customFormat="1" ht="17.25" customHeight="1">
      <c r="A22" s="28" t="s">
        <v>23</v>
      </c>
      <c r="B22" s="35" t="s">
        <v>24</v>
      </c>
      <c r="C22" s="69" t="s">
        <v>84</v>
      </c>
      <c r="D22" s="70" t="e">
        <f t="shared" si="0"/>
        <v>#REF!</v>
      </c>
      <c r="E22" s="70" t="e">
        <f>'Додаток2 скор'!E21+Додаток3!D17+Додаток4!D12</f>
        <v>#REF!</v>
      </c>
      <c r="F22" s="70" t="e">
        <f t="shared" si="1"/>
        <v>#REF!</v>
      </c>
      <c r="G22" s="70" t="e">
        <f>'Додаток2 скор'!G21+Додаток3!D17+Додаток4!D12</f>
        <v>#REF!</v>
      </c>
      <c r="H22" s="70">
        <f>'Додаток2 скор'!H21+Додаток3!E17+Додаток4!E12</f>
        <v>151.6811929617511</v>
      </c>
      <c r="I22" s="70">
        <f>'Додаток2 скор'!I21+Додаток3!F17+Додаток4!F12</f>
        <v>1.0049858844704074</v>
      </c>
      <c r="J22" s="71">
        <f t="shared" si="2"/>
        <v>1</v>
      </c>
      <c r="K22" s="70">
        <f>'Додаток2 скор'!K21+Додаток3!E17+Додаток4!E12</f>
        <v>151.6811929617511</v>
      </c>
      <c r="L22" s="70">
        <f>'Додаток2 скор'!L21+Додаток3!F17+Додаток4!F12</f>
        <v>1.0049858844704074</v>
      </c>
      <c r="M22" s="70">
        <f>'Додаток2 скор'!M21+Додаток3!G17+Додаток4!G12</f>
        <v>70.09842674215946</v>
      </c>
      <c r="N22" s="70">
        <f>'Додаток2 скор'!N21+Додаток3!H17+Додаток4!H12</f>
        <v>1.0049670470825467</v>
      </c>
      <c r="O22" s="71">
        <f t="shared" si="3"/>
        <v>1</v>
      </c>
      <c r="P22" s="70">
        <f>'Додаток2 скор'!P21+Додаток3!G17+Додаток4!G12</f>
        <v>70.09842674215946</v>
      </c>
      <c r="Q22" s="70" t="e">
        <f>'Додаток2 скор'!Q21+Додаток3!#REF!+Додаток4!#REF!</f>
        <v>#REF!</v>
      </c>
      <c r="R22" s="70" t="e">
        <f>'Додаток2 скор'!R21+Додаток3!#REF!+Додаток4!#REF!</f>
        <v>#REF!</v>
      </c>
      <c r="S22" s="70" t="e">
        <f>'Додаток2 скор'!S21+Додаток3!#REF!+Додаток4!#REF!</f>
        <v>#REF!</v>
      </c>
      <c r="T22" s="71" t="e">
        <f aca="true" t="shared" si="5" ref="T22:T41">IF(R22=0,0,1)</f>
        <v>#REF!</v>
      </c>
      <c r="U22" s="70" t="e">
        <f>'Додаток2 скор'!U21+Додаток3!#REF!+Додаток4!#REF!</f>
        <v>#REF!</v>
      </c>
      <c r="V22" s="70" t="e">
        <f>'Додаток2 скор'!V21+Додаток3!#REF!+Додаток4!#REF!</f>
        <v>#REF!</v>
      </c>
      <c r="W22" s="76">
        <v>217.51</v>
      </c>
      <c r="X22" s="73">
        <v>3.55</v>
      </c>
      <c r="Y22" s="74">
        <v>185.14</v>
      </c>
      <c r="Z22" s="73">
        <v>3.55</v>
      </c>
      <c r="AA22" s="74">
        <v>25.67</v>
      </c>
      <c r="AB22" s="75">
        <v>3.55</v>
      </c>
      <c r="AC22" s="74">
        <v>6.7</v>
      </c>
      <c r="AD22" s="75">
        <v>3.55</v>
      </c>
      <c r="AE22" s="68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</row>
    <row r="23" spans="1:31" s="27" customFormat="1" ht="16.5" customHeight="1">
      <c r="A23" s="13" t="s">
        <v>25</v>
      </c>
      <c r="B23" s="61" t="s">
        <v>97</v>
      </c>
      <c r="C23" s="62" t="s">
        <v>84</v>
      </c>
      <c r="D23" s="63" t="e">
        <f t="shared" si="0"/>
        <v>#REF!</v>
      </c>
      <c r="E23" s="63" t="e">
        <f>'Додаток2 скор'!E22+Додаток3!D18+Додаток4!D13</f>
        <v>#REF!</v>
      </c>
      <c r="F23" s="63" t="e">
        <f t="shared" si="1"/>
        <v>#REF!</v>
      </c>
      <c r="G23" s="63" t="e">
        <f>'Додаток2 скор'!G22+Додаток3!D18+Додаток4!D13</f>
        <v>#REF!</v>
      </c>
      <c r="H23" s="63">
        <f>'Додаток2 скор'!H22+Додаток3!E18+Додаток4!E13</f>
        <v>9486.378190514271</v>
      </c>
      <c r="I23" s="63">
        <f>'Додаток2 скор'!I22+Додаток3!F18+Додаток4!F13</f>
        <v>62.85338340277191</v>
      </c>
      <c r="J23" s="64">
        <f t="shared" si="2"/>
        <v>1</v>
      </c>
      <c r="K23" s="70">
        <f>'Додаток2 скор'!K22+Додаток3!E18+Додаток4!E13</f>
        <v>9486.378190514271</v>
      </c>
      <c r="L23" s="70">
        <f>'Додаток2 скор'!L22+Додаток3!F18+Додаток4!F13</f>
        <v>62.85338340277191</v>
      </c>
      <c r="M23" s="63">
        <f>'Додаток2 скор'!M22+Додаток3!G18+Додаток4!G13</f>
        <v>8577.593655846002</v>
      </c>
      <c r="N23" s="63">
        <f>'Додаток2 скор'!N22+Додаток3!H18+Додаток4!H13</f>
        <v>81.40371454486134</v>
      </c>
      <c r="O23" s="64">
        <f aca="true" t="shared" si="6" ref="O23:O41">IF(M23=0,0,1)</f>
        <v>1</v>
      </c>
      <c r="P23" s="63">
        <f>'Додаток2 скор'!P22+Додаток3!G18+Додаток4!G13</f>
        <v>8577.593655846002</v>
      </c>
      <c r="Q23" s="63">
        <f>'Додаток2 скор'!Q22+Додаток3!H18+Додаток4!H13</f>
        <v>81.40371454486134</v>
      </c>
      <c r="R23" s="63" t="e">
        <f>'Додаток2 скор'!R22+Додаток3!#REF!+Додаток4!#REF!</f>
        <v>#REF!</v>
      </c>
      <c r="S23" s="63" t="e">
        <f>'Додаток2 скор'!S22+Додаток3!#REF!+Додаток4!#REF!</f>
        <v>#REF!</v>
      </c>
      <c r="T23" s="64" t="e">
        <f t="shared" si="5"/>
        <v>#REF!</v>
      </c>
      <c r="U23" s="63" t="e">
        <f>'Додаток2 скор'!U22+Додаток3!#REF!+Додаток4!#REF!</f>
        <v>#REF!</v>
      </c>
      <c r="V23" s="70" t="e">
        <f>'Додаток2 скор'!V22+Додаток3!#REF!+Додаток4!#REF!</f>
        <v>#REF!</v>
      </c>
      <c r="W23" s="85">
        <v>1270.24</v>
      </c>
      <c r="X23" s="66">
        <v>20.72</v>
      </c>
      <c r="Y23" s="67">
        <v>1081.18</v>
      </c>
      <c r="Z23" s="66">
        <v>20.72</v>
      </c>
      <c r="AA23" s="67">
        <v>149.92</v>
      </c>
      <c r="AB23" s="66">
        <v>20.72</v>
      </c>
      <c r="AC23" s="67">
        <v>39.14</v>
      </c>
      <c r="AD23" s="66">
        <v>20.72</v>
      </c>
      <c r="AE23" s="68"/>
    </row>
    <row r="24" spans="1:31" s="27" customFormat="1" ht="16.5" customHeight="1">
      <c r="A24" s="13" t="s">
        <v>27</v>
      </c>
      <c r="B24" s="61" t="s">
        <v>28</v>
      </c>
      <c r="C24" s="62"/>
      <c r="D24" s="63" t="e">
        <f t="shared" si="0"/>
        <v>#REF!</v>
      </c>
      <c r="E24" s="63" t="e">
        <f>'Додаток2 скор'!E23+Додаток3!D19+Додаток4!D14</f>
        <v>#REF!</v>
      </c>
      <c r="F24" s="63" t="e">
        <f t="shared" si="1"/>
        <v>#REF!</v>
      </c>
      <c r="G24" s="63" t="e">
        <f>'Додаток2 скор'!G23+Додаток3!D19+Додаток4!D14</f>
        <v>#REF!</v>
      </c>
      <c r="H24" s="63">
        <f>SUM(H25:H27)</f>
        <v>6079.5463934906</v>
      </c>
      <c r="I24" s="63">
        <f>'Додаток2 скор'!I23+Додаток3!F19+Додаток4!F14</f>
        <v>40.28092204537004</v>
      </c>
      <c r="J24" s="64">
        <f t="shared" si="2"/>
        <v>1</v>
      </c>
      <c r="K24" s="70">
        <f>'Додаток2 скор'!K23+Додаток3!E19+Додаток4!E14</f>
        <v>6079.5463934906</v>
      </c>
      <c r="L24" s="70">
        <f>'Додаток2 скор'!L23+Додаток3!F19+Додаток4!F14</f>
        <v>40.28092204537004</v>
      </c>
      <c r="M24" s="63">
        <f>SUM(M25:M27)</f>
        <v>2498.3553609533956</v>
      </c>
      <c r="N24" s="63">
        <f>'Додаток2 скор'!N23+Додаток3!H19+Додаток4!H14</f>
        <v>30.666711487611312</v>
      </c>
      <c r="O24" s="64">
        <f t="shared" si="6"/>
        <v>1</v>
      </c>
      <c r="P24" s="63">
        <f>SUM(P25:P27)</f>
        <v>2498.3553609533956</v>
      </c>
      <c r="Q24" s="63">
        <f>'Додаток2 скор'!Q23+Додаток3!H19+Додаток4!H14</f>
        <v>30.666711487611312</v>
      </c>
      <c r="R24" s="63" t="e">
        <f>SUM(R25:R27)</f>
        <v>#REF!</v>
      </c>
      <c r="S24" s="63" t="e">
        <f>'Додаток2 скор'!S23+Додаток3!#REF!+Додаток4!#REF!</f>
        <v>#REF!</v>
      </c>
      <c r="T24" s="64" t="e">
        <f t="shared" si="5"/>
        <v>#REF!</v>
      </c>
      <c r="U24" s="63" t="e">
        <f>SUM(U25:U27)</f>
        <v>#REF!</v>
      </c>
      <c r="V24" s="63" t="e">
        <f>'Додаток2 скор'!V23+Додаток3!#REF!+Додаток4!#REF!</f>
        <v>#REF!</v>
      </c>
      <c r="W24" s="85">
        <v>1176.43</v>
      </c>
      <c r="X24" s="66">
        <v>19.19</v>
      </c>
      <c r="Y24" s="67">
        <v>1001.34</v>
      </c>
      <c r="Z24" s="66">
        <v>19.19</v>
      </c>
      <c r="AA24" s="67">
        <v>138.85</v>
      </c>
      <c r="AB24" s="66">
        <v>19.19</v>
      </c>
      <c r="AC24" s="67">
        <v>36.25</v>
      </c>
      <c r="AD24" s="66">
        <v>19.19</v>
      </c>
      <c r="AE24" s="68"/>
    </row>
    <row r="25" spans="1:110" s="34" customFormat="1" ht="16.5" customHeight="1">
      <c r="A25" s="28" t="s">
        <v>29</v>
      </c>
      <c r="B25" s="35" t="s">
        <v>46</v>
      </c>
      <c r="C25" s="69" t="s">
        <v>84</v>
      </c>
      <c r="D25" s="70" t="e">
        <f t="shared" si="0"/>
        <v>#REF!</v>
      </c>
      <c r="E25" s="70" t="e">
        <f>'Додаток2 скор'!E24+Додаток3!D20+Додаток4!D15</f>
        <v>#REF!</v>
      </c>
      <c r="F25" s="70" t="e">
        <f t="shared" si="1"/>
        <v>#REF!</v>
      </c>
      <c r="G25" s="70" t="e">
        <f>'Додаток2 скор'!G24+Додаток3!D20+Додаток4!D15</f>
        <v>#REF!</v>
      </c>
      <c r="H25" s="70">
        <f>'Додаток2 скор'!H24+Додаток3!E20+Додаток4!E15</f>
        <v>3515.651754917838</v>
      </c>
      <c r="I25" s="70">
        <f>'Додаток2 скор'!I24+Додаток3!F20+Додаток4!F15</f>
        <v>23.293463872590934</v>
      </c>
      <c r="J25" s="71">
        <f t="shared" si="2"/>
        <v>1</v>
      </c>
      <c r="K25" s="70">
        <f>'Додаток2 скор'!K24+Додаток3!E20+Додаток4!E15</f>
        <v>3515.651754917838</v>
      </c>
      <c r="L25" s="70">
        <f>'Додаток2 скор'!L24+Додаток3!F20+Додаток4!F15</f>
        <v>23.293463872590934</v>
      </c>
      <c r="M25" s="70">
        <f>'Додаток2 скор'!M24+Додаток3!G20+Додаток4!G15</f>
        <v>690.2030881927966</v>
      </c>
      <c r="N25" s="70">
        <f>'Додаток2 скор'!N24+Додаток3!H20+Додаток4!H15</f>
        <v>13.679282088501044</v>
      </c>
      <c r="O25" s="71">
        <f t="shared" si="6"/>
        <v>1</v>
      </c>
      <c r="P25" s="70">
        <f>'Додаток2 скор'!P24+Додаток3!G20+Додаток4!G15</f>
        <v>690.2030881927966</v>
      </c>
      <c r="Q25" s="70">
        <f>'Додаток2 скор'!Q24+Додаток3!H20+Додаток4!H15</f>
        <v>13.679282088501044</v>
      </c>
      <c r="R25" s="70" t="e">
        <f>'Додаток2 скор'!R24+Додаток3!#REF!+Додаток4!#REF!</f>
        <v>#REF!</v>
      </c>
      <c r="S25" s="70" t="e">
        <f>'Додаток2 скор'!S24+Додаток3!#REF!+Додаток4!#REF!</f>
        <v>#REF!</v>
      </c>
      <c r="T25" s="71" t="e">
        <f t="shared" si="5"/>
        <v>#REF!</v>
      </c>
      <c r="U25" s="70" t="e">
        <f>'Додаток2 скор'!U24+Додаток3!#REF!+Додаток4!#REF!</f>
        <v>#REF!</v>
      </c>
      <c r="V25" s="70" t="e">
        <f>'Додаток2 скор'!V24+Додаток3!#REF!+Додаток4!#REF!</f>
        <v>#REF!</v>
      </c>
      <c r="W25" s="76">
        <v>470.75</v>
      </c>
      <c r="X25" s="73">
        <v>7.68</v>
      </c>
      <c r="Y25" s="72">
        <v>400.69</v>
      </c>
      <c r="Z25" s="73">
        <v>7.68</v>
      </c>
      <c r="AA25" s="72">
        <v>55.56</v>
      </c>
      <c r="AB25" s="75">
        <v>7.68</v>
      </c>
      <c r="AC25" s="72">
        <v>14.5</v>
      </c>
      <c r="AD25" s="75">
        <v>7.68</v>
      </c>
      <c r="AE25" s="68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</row>
    <row r="26" spans="1:110" s="34" customFormat="1" ht="16.5" customHeight="1">
      <c r="A26" s="28" t="s">
        <v>31</v>
      </c>
      <c r="B26" s="35" t="s">
        <v>30</v>
      </c>
      <c r="C26" s="69" t="s">
        <v>84</v>
      </c>
      <c r="D26" s="70" t="e">
        <f t="shared" si="0"/>
        <v>#REF!</v>
      </c>
      <c r="E26" s="70" t="e">
        <f>'Додаток2 скор'!E25+Додаток3!D21+Додаток4!D16</f>
        <v>#REF!</v>
      </c>
      <c r="F26" s="70" t="e">
        <f t="shared" si="1"/>
        <v>#REF!</v>
      </c>
      <c r="G26" s="70" t="e">
        <f>'Додаток2 скор'!G25+Додаток3!D21+Додаток4!D16</f>
        <v>#REF!</v>
      </c>
      <c r="H26" s="70">
        <f>'Додаток2 скор'!H25+Додаток3!E21+Додаток4!E16</f>
        <v>1052.4698510530734</v>
      </c>
      <c r="I26" s="70">
        <f>'Додаток2 скор'!I25+Додаток3!F21+Додаток4!F16</f>
        <v>6.973292624391027</v>
      </c>
      <c r="J26" s="71">
        <f t="shared" si="2"/>
        <v>1</v>
      </c>
      <c r="K26" s="70">
        <f>'Додаток2 скор'!K25+Додаток3!E21+Додаток4!E16</f>
        <v>1052.4698510530734</v>
      </c>
      <c r="L26" s="70">
        <f>'Додаток2 скор'!L25+Додаток3!F21+Додаток4!F16</f>
        <v>6.973292624391027</v>
      </c>
      <c r="M26" s="70">
        <f>'Додаток2 скор'!M25+Додаток3!G21+Додаток4!G16</f>
        <v>785.2271553916619</v>
      </c>
      <c r="N26" s="70">
        <f>'Додаток2 скор'!N25+Додаток3!H21+Додаток4!H16</f>
        <v>6.97330825017729</v>
      </c>
      <c r="O26" s="71">
        <f t="shared" si="6"/>
        <v>1</v>
      </c>
      <c r="P26" s="70">
        <f>'Додаток2 скор'!P25+Додаток3!G21+Додаток4!G16</f>
        <v>785.2271553916619</v>
      </c>
      <c r="Q26" s="70">
        <f>'Додаток2 скор'!Q25+Додаток3!H21+Додаток4!H16</f>
        <v>6.97330825017729</v>
      </c>
      <c r="R26" s="70" t="e">
        <f>'Додаток2 скор'!R25+Додаток3!#REF!+Додаток4!#REF!</f>
        <v>#REF!</v>
      </c>
      <c r="S26" s="70" t="e">
        <f>'Додаток2 скор'!S25+Додаток3!#REF!+Додаток4!#REF!</f>
        <v>#REF!</v>
      </c>
      <c r="T26" s="71" t="e">
        <f t="shared" si="5"/>
        <v>#REF!</v>
      </c>
      <c r="U26" s="70" t="e">
        <f>'Додаток2 скор'!U25+Додаток3!#REF!+Додаток4!#REF!</f>
        <v>#REF!</v>
      </c>
      <c r="V26" s="70" t="e">
        <f>'Додаток2 скор'!V25+Додаток3!#REF!+Додаток4!#REF!</f>
        <v>#REF!</v>
      </c>
      <c r="W26" s="76">
        <v>455.67</v>
      </c>
      <c r="X26" s="73">
        <v>7.43</v>
      </c>
      <c r="Y26" s="72">
        <v>387.85</v>
      </c>
      <c r="Z26" s="73">
        <v>7.43</v>
      </c>
      <c r="AA26" s="72">
        <v>53.78</v>
      </c>
      <c r="AB26" s="75">
        <v>7.43</v>
      </c>
      <c r="AC26" s="72">
        <v>14.04</v>
      </c>
      <c r="AD26" s="75">
        <v>7.43</v>
      </c>
      <c r="AE26" s="68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</row>
    <row r="27" spans="1:110" s="34" customFormat="1" ht="16.5" customHeight="1">
      <c r="A27" s="28" t="s">
        <v>98</v>
      </c>
      <c r="B27" s="35" t="s">
        <v>32</v>
      </c>
      <c r="C27" s="69" t="s">
        <v>84</v>
      </c>
      <c r="D27" s="70" t="e">
        <f t="shared" si="0"/>
        <v>#REF!</v>
      </c>
      <c r="E27" s="70" t="e">
        <f>'Додаток2 скор'!E26+Додаток3!D22+Додаток4!D17</f>
        <v>#REF!</v>
      </c>
      <c r="F27" s="70" t="e">
        <f t="shared" si="1"/>
        <v>#REF!</v>
      </c>
      <c r="G27" s="70" t="e">
        <f>'Додаток2 скор'!G26+Додаток3!D22+Додаток4!D17</f>
        <v>#REF!</v>
      </c>
      <c r="H27" s="70">
        <f>'Додаток2 скор'!H26+Додаток3!E22+Додаток4!E17</f>
        <v>1511.4247875196886</v>
      </c>
      <c r="I27" s="70">
        <f>'Додаток2 скор'!I26+Додаток3!F22+Додаток4!F17</f>
        <v>10.014165548388076</v>
      </c>
      <c r="J27" s="71">
        <f t="shared" si="2"/>
        <v>1</v>
      </c>
      <c r="K27" s="70">
        <f>'Додаток2 скор'!K26+Додаток3!E22+Додаток4!E17</f>
        <v>1511.4247875196886</v>
      </c>
      <c r="L27" s="70">
        <f>'Додаток2 скор'!L26+Додаток3!F22+Додаток4!F17</f>
        <v>10.014165548388076</v>
      </c>
      <c r="M27" s="70">
        <f>'Додаток2 скор'!M26+Додаток3!G22+Додаток4!G17</f>
        <v>1022.925117368937</v>
      </c>
      <c r="N27" s="70">
        <f>'Додаток2 скор'!N26+Додаток3!H22+Додаток4!H17</f>
        <v>10.01412114893298</v>
      </c>
      <c r="O27" s="71">
        <f t="shared" si="6"/>
        <v>1</v>
      </c>
      <c r="P27" s="70">
        <f>'Додаток2 скор'!P26+Додаток3!G22+Додаток4!G17</f>
        <v>1022.925117368937</v>
      </c>
      <c r="Q27" s="70">
        <f>'Додаток2 скор'!Q26+Додаток3!H22+Додаток4!H17</f>
        <v>10.01412114893298</v>
      </c>
      <c r="R27" s="70" t="e">
        <f>'Додаток2 скор'!R26+Додаток3!#REF!+Додаток4!#REF!</f>
        <v>#REF!</v>
      </c>
      <c r="S27" s="70" t="e">
        <f>'Додаток2 скор'!S26+Додаток3!#REF!+Додаток4!#REF!</f>
        <v>#REF!</v>
      </c>
      <c r="T27" s="71" t="e">
        <f t="shared" si="5"/>
        <v>#REF!</v>
      </c>
      <c r="U27" s="70" t="e">
        <f>'Додаток2 скор'!U26+Додаток3!#REF!+Додаток4!#REF!</f>
        <v>#REF!</v>
      </c>
      <c r="V27" s="70" t="e">
        <f>'Додаток2 скор'!V26+Додаток3!#REF!+Додаток4!#REF!</f>
        <v>#REF!</v>
      </c>
      <c r="W27" s="76">
        <v>250.01</v>
      </c>
      <c r="X27" s="73">
        <v>4.08</v>
      </c>
      <c r="Y27" s="72">
        <v>212.8</v>
      </c>
      <c r="Z27" s="73">
        <v>4.08</v>
      </c>
      <c r="AA27" s="72">
        <v>29.51</v>
      </c>
      <c r="AB27" s="75">
        <v>4.08</v>
      </c>
      <c r="AC27" s="72">
        <v>7.7</v>
      </c>
      <c r="AD27" s="75">
        <v>4.08</v>
      </c>
      <c r="AE27" s="68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</row>
    <row r="28" spans="1:31" s="27" customFormat="1" ht="18" customHeight="1">
      <c r="A28" s="13" t="s">
        <v>33</v>
      </c>
      <c r="B28" s="61" t="s">
        <v>34</v>
      </c>
      <c r="C28" s="62" t="s">
        <v>84</v>
      </c>
      <c r="D28" s="63" t="e">
        <f t="shared" si="0"/>
        <v>#REF!</v>
      </c>
      <c r="E28" s="63" t="e">
        <f>'Додаток2 скор'!E27+Додаток3!D23+Додаток4!D18</f>
        <v>#REF!</v>
      </c>
      <c r="F28" s="63" t="e">
        <f t="shared" si="1"/>
        <v>#REF!</v>
      </c>
      <c r="G28" s="63" t="e">
        <f>'Додаток2 скор'!G27+Додаток3!D23+Додаток4!D18</f>
        <v>#REF!</v>
      </c>
      <c r="H28" s="63">
        <f>SUM(H29:H31)</f>
        <v>647.2051423844551</v>
      </c>
      <c r="I28" s="63">
        <f>'Додаток2 скор'!I27+Додаток3!F23+Додаток4!F18</f>
        <v>4.288152141690069</v>
      </c>
      <c r="J28" s="64">
        <f t="shared" si="2"/>
        <v>1</v>
      </c>
      <c r="K28" s="63">
        <f>'Додаток2 скор'!K27+Додаток3!E23+Додаток4!E18</f>
        <v>647.2051423844551</v>
      </c>
      <c r="L28" s="63">
        <f>'Додаток2 скор'!L27+Додаток3!F23+Додаток4!F18</f>
        <v>4.28815214169007</v>
      </c>
      <c r="M28" s="63">
        <f>SUM(M29:M31)</f>
        <v>277.2020806148829</v>
      </c>
      <c r="N28" s="63">
        <f>'Додаток2 скор'!N27+Додаток3!H23+Додаток4!H18</f>
        <v>4.3881079899956115</v>
      </c>
      <c r="O28" s="64">
        <f t="shared" si="6"/>
        <v>1</v>
      </c>
      <c r="P28" s="63">
        <f>SUM(P29:P31)</f>
        <v>277.2020806148829</v>
      </c>
      <c r="Q28" s="63">
        <f>'Додаток2 скор'!Q27+Додаток3!H23+Додаток4!H18</f>
        <v>4.3881079899956115</v>
      </c>
      <c r="R28" s="63" t="e">
        <f>SUM(R29:R31)</f>
        <v>#REF!</v>
      </c>
      <c r="S28" s="63" t="e">
        <f>'Додаток2 скор'!S27+Додаток3!#REF!+Додаток4!#REF!</f>
        <v>#REF!</v>
      </c>
      <c r="T28" s="64" t="e">
        <f t="shared" si="5"/>
        <v>#REF!</v>
      </c>
      <c r="U28" s="63" t="e">
        <f>SUM(U29:U31)</f>
        <v>#REF!</v>
      </c>
      <c r="V28" s="63" t="e">
        <f>'Додаток2 скор'!V27+Додаток3!#REF!+Додаток4!#REF!</f>
        <v>#REF!</v>
      </c>
      <c r="W28" s="85">
        <v>0</v>
      </c>
      <c r="X28" s="66">
        <v>0</v>
      </c>
      <c r="Y28" s="67">
        <v>0</v>
      </c>
      <c r="Z28" s="66">
        <v>0</v>
      </c>
      <c r="AA28" s="67">
        <v>0</v>
      </c>
      <c r="AB28" s="66">
        <v>0</v>
      </c>
      <c r="AC28" s="67">
        <v>0</v>
      </c>
      <c r="AD28" s="66">
        <v>0</v>
      </c>
      <c r="AE28" s="68"/>
    </row>
    <row r="29" spans="1:110" s="34" customFormat="1" ht="16.5" customHeight="1">
      <c r="A29" s="28" t="s">
        <v>35</v>
      </c>
      <c r="B29" s="35" t="s">
        <v>44</v>
      </c>
      <c r="C29" s="69" t="s">
        <v>84</v>
      </c>
      <c r="D29" s="70" t="e">
        <f t="shared" si="0"/>
        <v>#REF!</v>
      </c>
      <c r="E29" s="70" t="e">
        <f>'Додаток2 скор'!E28+Додаток3!D24+Додаток4!D19</f>
        <v>#REF!</v>
      </c>
      <c r="F29" s="70" t="e">
        <f t="shared" si="1"/>
        <v>#REF!</v>
      </c>
      <c r="G29" s="70" t="e">
        <f>'Додаток2 скор'!G28+Додаток3!D24+Додаток4!D19</f>
        <v>#REF!</v>
      </c>
      <c r="H29" s="70">
        <f>'Додаток2 скор'!H28+Додаток3!E24+Додаток4!E19</f>
        <v>412.69256074613486</v>
      </c>
      <c r="I29" s="70">
        <f>'Додаток2 скор'!I28+Додаток3!F24+Додаток4!F19</f>
        <v>2.734354800864454</v>
      </c>
      <c r="J29" s="71">
        <f t="shared" si="2"/>
        <v>1</v>
      </c>
      <c r="K29" s="70">
        <f>'Додаток2 скор'!K28+Додаток3!E24+Додаток4!E19</f>
        <v>412.69256074613486</v>
      </c>
      <c r="L29" s="70">
        <f>'Додаток2 скор'!L28+Додаток3!F24+Додаток4!F19</f>
        <v>2.734354800864454</v>
      </c>
      <c r="M29" s="70">
        <f>'Додаток2 скор'!M28+Додаток3!G24+Додаток4!G19</f>
        <v>198.46711718960512</v>
      </c>
      <c r="N29" s="70">
        <f>'Додаток2 скор'!N28+Додаток3!H24+Додаток4!H19</f>
        <v>2.941965519142692</v>
      </c>
      <c r="O29" s="71">
        <f t="shared" si="6"/>
        <v>1</v>
      </c>
      <c r="P29" s="70">
        <f>'Додаток2 скор'!P28+Додаток3!G24+Додаток4!G19</f>
        <v>198.46711718960512</v>
      </c>
      <c r="Q29" s="70">
        <f>'Додаток2 скор'!Q28+Додаток3!H24+Додаток4!H19</f>
        <v>2.941965519142692</v>
      </c>
      <c r="R29" s="70" t="e">
        <f>'Додаток2 скор'!R28+Додаток3!#REF!+Додаток4!#REF!</f>
        <v>#REF!</v>
      </c>
      <c r="S29" s="70" t="e">
        <f>'Додаток2 скор'!S28+Додаток3!#REF!+Додаток4!#REF!</f>
        <v>#REF!</v>
      </c>
      <c r="T29" s="71" t="e">
        <f t="shared" si="5"/>
        <v>#REF!</v>
      </c>
      <c r="U29" s="70" t="e">
        <f>'Додаток2 скор'!U28+Додаток3!#REF!+Додаток4!#REF!</f>
        <v>#REF!</v>
      </c>
      <c r="V29" s="70" t="e">
        <f>'Додаток2 скор'!V28+Додаток3!#REF!+Додаток4!#REF!</f>
        <v>#REF!</v>
      </c>
      <c r="W29" s="76">
        <v>0</v>
      </c>
      <c r="X29" s="73">
        <v>0</v>
      </c>
      <c r="Y29" s="74">
        <v>0</v>
      </c>
      <c r="Z29" s="73">
        <v>0</v>
      </c>
      <c r="AA29" s="74">
        <v>0</v>
      </c>
      <c r="AB29" s="75">
        <v>0</v>
      </c>
      <c r="AC29" s="74">
        <v>0</v>
      </c>
      <c r="AD29" s="75">
        <v>0</v>
      </c>
      <c r="AE29" s="68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</row>
    <row r="30" spans="1:110" s="34" customFormat="1" ht="16.5" customHeight="1">
      <c r="A30" s="28" t="s">
        <v>37</v>
      </c>
      <c r="B30" s="35" t="s">
        <v>46</v>
      </c>
      <c r="C30" s="69" t="s">
        <v>84</v>
      </c>
      <c r="D30" s="70" t="e">
        <f t="shared" si="0"/>
        <v>#REF!</v>
      </c>
      <c r="E30" s="70" t="e">
        <f>'Додаток2 скор'!E29+Додаток3!D25+Додаток4!D20</f>
        <v>#REF!</v>
      </c>
      <c r="F30" s="70" t="e">
        <f t="shared" si="1"/>
        <v>#REF!</v>
      </c>
      <c r="G30" s="70" t="e">
        <f>'Додаток2 скор'!G29+Додаток3!D25+Додаток4!D20</f>
        <v>#REF!</v>
      </c>
      <c r="H30" s="70">
        <f>'Додаток2 скор'!H29+Додаток3!E25+Додаток4!E20</f>
        <v>152.9438627427548</v>
      </c>
      <c r="I30" s="70">
        <f>'Додаток2 скор'!I29+Додаток3!F25+Додаток4!F20</f>
        <v>1.0133518874130136</v>
      </c>
      <c r="J30" s="71">
        <f t="shared" si="2"/>
        <v>1</v>
      </c>
      <c r="K30" s="70">
        <f>'Додаток2 скор'!K29+Додаток3!E25+Додаток4!E20</f>
        <v>152.9438627427548</v>
      </c>
      <c r="L30" s="70">
        <f>'Додаток2 скор'!L29+Додаток3!F25+Додаток4!F20</f>
        <v>1.0133518874130136</v>
      </c>
      <c r="M30" s="70">
        <f>'Додаток2 скор'!M29+Додаток3!G25+Додаток4!G20</f>
        <v>45.70132354985954</v>
      </c>
      <c r="N30" s="70">
        <f>'Додаток2 скор'!N29+Додаток3!H25+Додаток4!H20</f>
        <v>0.905764270474774</v>
      </c>
      <c r="O30" s="71">
        <f t="shared" si="6"/>
        <v>1</v>
      </c>
      <c r="P30" s="70">
        <f>'Додаток2 скор'!P29+Додаток3!G25+Додаток4!G20</f>
        <v>45.70132354985954</v>
      </c>
      <c r="Q30" s="70">
        <f>'Додаток2 скор'!Q29+Додаток3!H25+Додаток4!H20</f>
        <v>0.905764270474774</v>
      </c>
      <c r="R30" s="70" t="e">
        <f>'Додаток2 скор'!R29+Додаток3!#REF!+Додаток4!#REF!</f>
        <v>#REF!</v>
      </c>
      <c r="S30" s="70" t="e">
        <f>'Додаток2 скор'!S29+Додаток3!#REF!+Додаток4!#REF!</f>
        <v>#REF!</v>
      </c>
      <c r="T30" s="71" t="e">
        <f t="shared" si="5"/>
        <v>#REF!</v>
      </c>
      <c r="U30" s="70" t="e">
        <f>'Додаток2 скор'!U29+Додаток3!#REF!+Додаток4!#REF!</f>
        <v>#REF!</v>
      </c>
      <c r="V30" s="70" t="e">
        <f>'Додаток2 скор'!V29+Додаток3!#REF!+Додаток4!#REF!</f>
        <v>#REF!</v>
      </c>
      <c r="W30" s="76">
        <v>0</v>
      </c>
      <c r="X30" s="73">
        <v>0</v>
      </c>
      <c r="Y30" s="74">
        <v>0</v>
      </c>
      <c r="Z30" s="73">
        <v>0</v>
      </c>
      <c r="AA30" s="74">
        <v>0</v>
      </c>
      <c r="AB30" s="75">
        <v>0</v>
      </c>
      <c r="AC30" s="74">
        <v>0</v>
      </c>
      <c r="AD30" s="75">
        <v>0</v>
      </c>
      <c r="AE30" s="68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</row>
    <row r="31" spans="1:110" s="34" customFormat="1" ht="16.5" customHeight="1">
      <c r="A31" s="28" t="s">
        <v>99</v>
      </c>
      <c r="B31" s="35" t="s">
        <v>38</v>
      </c>
      <c r="C31" s="69" t="s">
        <v>84</v>
      </c>
      <c r="D31" s="70" t="e">
        <f t="shared" si="0"/>
        <v>#REF!</v>
      </c>
      <c r="E31" s="70" t="e">
        <f>'Додаток2 скор'!E30+Додаток3!D26+Додаток4!D21</f>
        <v>#REF!</v>
      </c>
      <c r="F31" s="70" t="e">
        <f t="shared" si="1"/>
        <v>#REF!</v>
      </c>
      <c r="G31" s="70" t="e">
        <f>'Додаток2 скор'!G30+Додаток3!D26+Додаток4!D21</f>
        <v>#REF!</v>
      </c>
      <c r="H31" s="70">
        <f>'Додаток2 скор'!H30+Додаток3!E26+Додаток4!E21</f>
        <v>81.56871889556541</v>
      </c>
      <c r="I31" s="70">
        <f>'Додаток2 скор'!I30+Додаток3!F26+Додаток4!F21</f>
        <v>0.5404454534126014</v>
      </c>
      <c r="J31" s="71">
        <f t="shared" si="2"/>
        <v>1</v>
      </c>
      <c r="K31" s="70">
        <f>'Додаток2 скор'!K30+Додаток3!E26+Додаток4!E21</f>
        <v>81.56871889556541</v>
      </c>
      <c r="L31" s="70">
        <f>'Додаток2 скор'!L30+Додаток3!F26+Додаток4!F21</f>
        <v>0.5404454534126014</v>
      </c>
      <c r="M31" s="70">
        <f>'Додаток2 скор'!M30+Додаток3!G26+Додаток4!G21</f>
        <v>33.03363987541829</v>
      </c>
      <c r="N31" s="70">
        <f>'Додаток2 скор'!N30+Додаток3!H26+Додаток4!H21</f>
        <v>0.5404444568378189</v>
      </c>
      <c r="O31" s="71">
        <f t="shared" si="6"/>
        <v>1</v>
      </c>
      <c r="P31" s="70">
        <f>'Додаток2 скор'!P30+Додаток3!G26+Додаток4!G21</f>
        <v>33.03363987541829</v>
      </c>
      <c r="Q31" s="70">
        <f>'Додаток2 скор'!Q30+Додаток3!H26+Додаток4!H21</f>
        <v>0.5404444568378189</v>
      </c>
      <c r="R31" s="70" t="e">
        <f>'Додаток2 скор'!R30+Додаток3!#REF!+Додаток4!#REF!</f>
        <v>#REF!</v>
      </c>
      <c r="S31" s="70" t="e">
        <f>'Додаток2 скор'!S30+Додаток3!#REF!+Додаток4!#REF!</f>
        <v>#REF!</v>
      </c>
      <c r="T31" s="71" t="e">
        <f t="shared" si="5"/>
        <v>#REF!</v>
      </c>
      <c r="U31" s="70" t="e">
        <f>'Додаток2 скор'!U30+Додаток3!#REF!+Додаток4!#REF!</f>
        <v>#REF!</v>
      </c>
      <c r="V31" s="70" t="e">
        <f>'Додаток2 скор'!V30+Додаток3!#REF!+Додаток4!#REF!</f>
        <v>#REF!</v>
      </c>
      <c r="W31" s="76">
        <v>0</v>
      </c>
      <c r="X31" s="73">
        <v>0</v>
      </c>
      <c r="Y31" s="74">
        <v>0</v>
      </c>
      <c r="Z31" s="73">
        <v>0</v>
      </c>
      <c r="AA31" s="74">
        <v>0</v>
      </c>
      <c r="AB31" s="75">
        <v>0</v>
      </c>
      <c r="AC31" s="74">
        <v>0</v>
      </c>
      <c r="AD31" s="75">
        <v>0</v>
      </c>
      <c r="AE31" s="68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</row>
    <row r="32" spans="1:31" s="27" customFormat="1" ht="16.5" customHeight="1">
      <c r="A32" s="13" t="s">
        <v>39</v>
      </c>
      <c r="B32" s="61" t="s">
        <v>40</v>
      </c>
      <c r="C32" s="62" t="s">
        <v>84</v>
      </c>
      <c r="D32" s="63" t="e">
        <f t="shared" si="0"/>
        <v>#REF!</v>
      </c>
      <c r="E32" s="63" t="e">
        <f>'Додаток2 скор'!E31+Додаток3!D27+Додаток4!D22</f>
        <v>#REF!</v>
      </c>
      <c r="F32" s="63" t="e">
        <f t="shared" si="1"/>
        <v>#REF!</v>
      </c>
      <c r="G32" s="63" t="e">
        <f>'Додаток2 скор'!G31+Додаток3!D27+Додаток4!D22</f>
        <v>#REF!</v>
      </c>
      <c r="H32" s="63">
        <f>SUM(H33:H35)</f>
        <v>2215.437782206711</v>
      </c>
      <c r="I32" s="63">
        <f>'Додаток2 скор'!I31+Додаток3!F27+Додаток4!F22</f>
        <v>14.678706407600668</v>
      </c>
      <c r="J32" s="64">
        <f t="shared" si="2"/>
        <v>0.9999999999999998</v>
      </c>
      <c r="K32" s="63">
        <f>'Додаток2 скор'!K31+Додаток3!E27+Додаток4!E22</f>
        <v>2215.4377822067104</v>
      </c>
      <c r="L32" s="63">
        <f>'Додаток2 скор'!L31+Додаток3!F27+Додаток4!F22</f>
        <v>14.678706407600668</v>
      </c>
      <c r="M32" s="63">
        <f>SUM(M33:M35)</f>
        <v>951.3773969379201</v>
      </c>
      <c r="N32" s="63">
        <f>'Додаток2 скор'!N31+Додаток3!H27+Додаток4!H22</f>
        <v>15.037530656406602</v>
      </c>
      <c r="O32" s="64">
        <f t="shared" si="6"/>
        <v>1</v>
      </c>
      <c r="P32" s="63">
        <f>SUM(P33:P35)</f>
        <v>951.3773969379201</v>
      </c>
      <c r="Q32" s="63">
        <f>'Додаток2 скор'!Q31+Додаток3!H27+Додаток4!H22</f>
        <v>15.037530656406602</v>
      </c>
      <c r="R32" s="63" t="e">
        <f>SUM(R33:R35)</f>
        <v>#REF!</v>
      </c>
      <c r="S32" s="63" t="e">
        <f>'Додаток2 скор'!S31+Додаток3!#REF!+Додаток4!#REF!</f>
        <v>#REF!</v>
      </c>
      <c r="T32" s="64" t="e">
        <f t="shared" si="5"/>
        <v>#REF!</v>
      </c>
      <c r="U32" s="63" t="e">
        <f>SUM(U33:U35)</f>
        <v>#REF!</v>
      </c>
      <c r="V32" s="63" t="e">
        <f>'Додаток2 скор'!V31+Додаток3!#REF!+Додаток4!#REF!</f>
        <v>#REF!</v>
      </c>
      <c r="W32" s="85">
        <v>936.23</v>
      </c>
      <c r="X32" s="66">
        <v>15.27</v>
      </c>
      <c r="Y32" s="67">
        <v>796.89</v>
      </c>
      <c r="Z32" s="66">
        <v>15.27</v>
      </c>
      <c r="AA32" s="67">
        <v>110.5</v>
      </c>
      <c r="AB32" s="66">
        <v>15.27</v>
      </c>
      <c r="AC32" s="67">
        <v>28.85</v>
      </c>
      <c r="AD32" s="66">
        <v>15.27</v>
      </c>
      <c r="AE32" s="68"/>
    </row>
    <row r="33" spans="1:110" s="34" customFormat="1" ht="16.5" customHeight="1">
      <c r="A33" s="28" t="s">
        <v>41</v>
      </c>
      <c r="B33" s="35" t="s">
        <v>44</v>
      </c>
      <c r="C33" s="69" t="s">
        <v>84</v>
      </c>
      <c r="D33" s="70" t="e">
        <f t="shared" si="0"/>
        <v>#REF!</v>
      </c>
      <c r="E33" s="70" t="e">
        <f>'Додаток2 скор'!E32+Додаток3!D28+Додаток4!D23</f>
        <v>#REF!</v>
      </c>
      <c r="F33" s="70" t="e">
        <f t="shared" si="1"/>
        <v>#REF!</v>
      </c>
      <c r="G33" s="70" t="e">
        <f>'Додаток2 скор'!G32+Додаток3!D28+Додаток4!D23</f>
        <v>#REF!</v>
      </c>
      <c r="H33" s="70">
        <f>'Додаток2 скор'!H32+Додаток3!E28+Додаток4!E23</f>
        <v>1480.8603103640826</v>
      </c>
      <c r="I33" s="70">
        <f>'Додаток2 скор'!I32+Додаток3!F28+Додаток4!F23</f>
        <v>9.811656143577766</v>
      </c>
      <c r="J33" s="71">
        <f t="shared" si="2"/>
        <v>1</v>
      </c>
      <c r="K33" s="70">
        <f>'Додаток2 скор'!K32+Додаток3!E28+Додаток4!E23</f>
        <v>1480.8603103640826</v>
      </c>
      <c r="L33" s="70">
        <f>'Додаток2 скор'!L32+Додаток3!F28+Додаток4!F23</f>
        <v>9.811656143577766</v>
      </c>
      <c r="M33" s="70">
        <f>'Додаток2 скор'!M32+Додаток3!G28+Додаток4!G23</f>
        <v>712.1474952714553</v>
      </c>
      <c r="N33" s="70">
        <f>'Додаток2 скор'!N32+Додаток3!H28+Додаток4!H23</f>
        <v>10.556557590950735</v>
      </c>
      <c r="O33" s="71">
        <f t="shared" si="6"/>
        <v>1</v>
      </c>
      <c r="P33" s="70">
        <f>'Додаток2 скор'!P32+Додаток3!G28+Додаток4!G23</f>
        <v>712.1474952714553</v>
      </c>
      <c r="Q33" s="70">
        <f>'Додаток2 скор'!Q32+Додаток3!H28+Додаток4!H23</f>
        <v>10.556557590950735</v>
      </c>
      <c r="R33" s="70" t="e">
        <f>'Додаток2 скор'!R32+Додаток3!#REF!+Додаток4!#REF!</f>
        <v>#REF!</v>
      </c>
      <c r="S33" s="70" t="e">
        <f>'Додаток2 скор'!S32+Додаток3!#REF!+Додаток4!#REF!</f>
        <v>#REF!</v>
      </c>
      <c r="T33" s="71" t="e">
        <f t="shared" si="5"/>
        <v>#REF!</v>
      </c>
      <c r="U33" s="70" t="e">
        <f>'Додаток2 скор'!U32+Додаток3!#REF!+Додаток4!#REF!</f>
        <v>#REF!</v>
      </c>
      <c r="V33" s="70" t="e">
        <f>'Додаток2 скор'!V32+Додаток3!#REF!+Додаток4!#REF!</f>
        <v>#REF!</v>
      </c>
      <c r="W33" s="76">
        <v>577.83</v>
      </c>
      <c r="X33" s="73">
        <v>9.43</v>
      </c>
      <c r="Y33" s="74">
        <v>491.83</v>
      </c>
      <c r="Z33" s="73">
        <v>9.43</v>
      </c>
      <c r="AA33" s="74">
        <v>68.2</v>
      </c>
      <c r="AB33" s="75">
        <v>9.43</v>
      </c>
      <c r="AC33" s="74">
        <v>17.8</v>
      </c>
      <c r="AD33" s="75">
        <v>9.43</v>
      </c>
      <c r="AE33" s="68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</row>
    <row r="34" spans="1:110" s="34" customFormat="1" ht="16.5" customHeight="1">
      <c r="A34" s="28" t="s">
        <v>42</v>
      </c>
      <c r="B34" s="35" t="s">
        <v>46</v>
      </c>
      <c r="C34" s="69" t="s">
        <v>84</v>
      </c>
      <c r="D34" s="70" t="e">
        <f t="shared" si="0"/>
        <v>#REF!</v>
      </c>
      <c r="E34" s="70" t="e">
        <f>'Додаток2 скор'!E33+Додаток3!D29+Додаток4!D24</f>
        <v>#REF!</v>
      </c>
      <c r="F34" s="70" t="e">
        <f t="shared" si="1"/>
        <v>#REF!</v>
      </c>
      <c r="G34" s="70" t="e">
        <f>'Додаток2 скор'!G33+Додаток3!D29+Додаток4!D24</f>
        <v>#REF!</v>
      </c>
      <c r="H34" s="70">
        <f>'Додаток2 скор'!H33+Додаток3!E29+Додаток4!E24</f>
        <v>548.8068333516793</v>
      </c>
      <c r="I34" s="70">
        <f>'Додаток2 скор'!I33+Додаток3!F29+Додаток4!F24</f>
        <v>3.6361997822526466</v>
      </c>
      <c r="J34" s="71">
        <f t="shared" si="2"/>
        <v>1</v>
      </c>
      <c r="K34" s="70">
        <f>'Додаток2 скор'!K33+Додаток3!E29+Додаток4!E24</f>
        <v>548.8068333516793</v>
      </c>
      <c r="L34" s="70">
        <f>'Додаток2 скор'!L33+Додаток3!F29+Додаток4!F24</f>
        <v>3.6361997822526466</v>
      </c>
      <c r="M34" s="70">
        <f>'Додаток2 скор'!M33+Додаток3!G29+Додаток4!G24</f>
        <v>163.98957244405543</v>
      </c>
      <c r="N34" s="70">
        <f>'Додаток2 скор'!N33+Додаток3!H29+Додаток4!H24</f>
        <v>3.250144282762605</v>
      </c>
      <c r="O34" s="71">
        <f t="shared" si="6"/>
        <v>1</v>
      </c>
      <c r="P34" s="70">
        <f>'Додаток2 скор'!P33+Додаток3!G29+Додаток4!G24</f>
        <v>163.98957244405543</v>
      </c>
      <c r="Q34" s="70">
        <f>'Додаток2 скор'!Q33+Додаток3!H29+Додаток4!H24</f>
        <v>3.250144282762605</v>
      </c>
      <c r="R34" s="70" t="e">
        <f>'Додаток2 скор'!R33+Додаток3!#REF!+Додаток4!#REF!</f>
        <v>#REF!</v>
      </c>
      <c r="S34" s="70" t="e">
        <f>'Додаток2 скор'!S33+Додаток3!#REF!+Додаток4!#REF!</f>
        <v>#REF!</v>
      </c>
      <c r="T34" s="71" t="e">
        <f t="shared" si="5"/>
        <v>#REF!</v>
      </c>
      <c r="U34" s="70" t="e">
        <f>'Додаток2 скор'!U33+Додаток3!#REF!+Додаток4!#REF!</f>
        <v>#REF!</v>
      </c>
      <c r="V34" s="70" t="e">
        <f>'Додаток2 скор'!V33+Додаток3!#REF!+Додаток4!#REF!</f>
        <v>#REF!</v>
      </c>
      <c r="W34" s="76">
        <v>214.14</v>
      </c>
      <c r="X34" s="73">
        <v>3.49</v>
      </c>
      <c r="Y34" s="74">
        <v>182.27</v>
      </c>
      <c r="Z34" s="73">
        <v>3.49</v>
      </c>
      <c r="AA34" s="74">
        <v>25.27</v>
      </c>
      <c r="AB34" s="75">
        <v>3.49</v>
      </c>
      <c r="AC34" s="74">
        <v>6.6</v>
      </c>
      <c r="AD34" s="75">
        <v>3.49</v>
      </c>
      <c r="AE34" s="68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</row>
    <row r="35" spans="1:110" s="34" customFormat="1" ht="16.5" customHeight="1">
      <c r="A35" s="28" t="s">
        <v>100</v>
      </c>
      <c r="B35" s="35" t="s">
        <v>38</v>
      </c>
      <c r="C35" s="69" t="s">
        <v>84</v>
      </c>
      <c r="D35" s="70" t="e">
        <f t="shared" si="0"/>
        <v>#REF!</v>
      </c>
      <c r="E35" s="70" t="e">
        <f>'Додаток2 скор'!E34+Додаток3!D30+Додаток4!D25</f>
        <v>#REF!</v>
      </c>
      <c r="F35" s="70" t="e">
        <f t="shared" si="1"/>
        <v>#REF!</v>
      </c>
      <c r="G35" s="70" t="e">
        <f>'Додаток2 скор'!G34+Додаток3!D30+Додаток4!D25</f>
        <v>#REF!</v>
      </c>
      <c r="H35" s="70">
        <f>'Додаток2 скор'!H34+Додаток3!E30+Додаток4!E25</f>
        <v>185.77063849094884</v>
      </c>
      <c r="I35" s="70">
        <f>'Додаток2 скор'!I34+Додаток3!F30+Додаток4!F25</f>
        <v>1.2308504817702564</v>
      </c>
      <c r="J35" s="71">
        <f t="shared" si="2"/>
        <v>1</v>
      </c>
      <c r="K35" s="70">
        <f>'Додаток2 скор'!K34+Додаток3!E30+Додаток4!E25</f>
        <v>185.77063849094884</v>
      </c>
      <c r="L35" s="70">
        <f>'Додаток2 скор'!L34+Додаток3!F30+Додаток4!F25</f>
        <v>1.2308504817702564</v>
      </c>
      <c r="M35" s="70">
        <f>'Додаток2 скор'!M34+Додаток3!G30+Додаток4!G25</f>
        <v>75.2403292224094</v>
      </c>
      <c r="N35" s="70">
        <f>'Додаток2 скор'!N34+Додаток3!H30+Додаток4!H25</f>
        <v>1.2308950391529352</v>
      </c>
      <c r="O35" s="71">
        <f t="shared" si="6"/>
        <v>1</v>
      </c>
      <c r="P35" s="70">
        <f>'Додаток2 скор'!P34+Додаток3!G30+Додаток4!G25</f>
        <v>75.2403292224094</v>
      </c>
      <c r="Q35" s="70">
        <f>'Додаток2 скор'!Q34+Додаток3!H30+Додаток4!H25</f>
        <v>1.2308950391529352</v>
      </c>
      <c r="R35" s="70" t="e">
        <f>'Додаток2 скор'!R34+Додаток3!#REF!+Додаток4!#REF!</f>
        <v>#REF!</v>
      </c>
      <c r="S35" s="70" t="e">
        <f>'Додаток2 скор'!S34+Додаток3!#REF!+Додаток4!#REF!</f>
        <v>#REF!</v>
      </c>
      <c r="T35" s="71" t="e">
        <f t="shared" si="5"/>
        <v>#REF!</v>
      </c>
      <c r="U35" s="70" t="e">
        <f>'Додаток2 скор'!U34+Додаток3!#REF!+Додаток4!#REF!</f>
        <v>#REF!</v>
      </c>
      <c r="V35" s="70" t="e">
        <f>'Додаток2 скор'!V34+Додаток3!#REF!+Додаток4!#REF!</f>
        <v>#REF!</v>
      </c>
      <c r="W35" s="76">
        <v>144.26</v>
      </c>
      <c r="X35" s="73">
        <v>2.35</v>
      </c>
      <c r="Y35" s="74">
        <v>122.79</v>
      </c>
      <c r="Z35" s="73">
        <v>2.35</v>
      </c>
      <c r="AA35" s="74">
        <v>17.03</v>
      </c>
      <c r="AB35" s="75">
        <v>2.35</v>
      </c>
      <c r="AC35" s="74">
        <v>4.44</v>
      </c>
      <c r="AD35" s="75">
        <v>2.35</v>
      </c>
      <c r="AE35" s="68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</row>
    <row r="36" spans="1:31" s="27" customFormat="1" ht="16.5" customHeight="1">
      <c r="A36" s="13">
        <v>3</v>
      </c>
      <c r="B36" s="61" t="s">
        <v>49</v>
      </c>
      <c r="C36" s="62" t="s">
        <v>84</v>
      </c>
      <c r="D36" s="63">
        <f t="shared" si="0"/>
        <v>0</v>
      </c>
      <c r="E36" s="63" t="e">
        <f>'Додаток2 скор'!E35+Додаток3!D31+Додаток4!D26</f>
        <v>#REF!</v>
      </c>
      <c r="F36" s="63">
        <f t="shared" si="1"/>
        <v>0</v>
      </c>
      <c r="G36" s="63" t="e">
        <f>'Додаток2 скор'!G35+Додаток3!D31+Додаток4!D26</f>
        <v>#REF!</v>
      </c>
      <c r="H36" s="63">
        <f>SUM(H37:H39)</f>
        <v>0</v>
      </c>
      <c r="I36" s="63">
        <f>'Додаток2 скор'!I35+Додаток3!F31+Додаток4!F26</f>
        <v>0</v>
      </c>
      <c r="J36" s="64">
        <f t="shared" si="2"/>
        <v>0</v>
      </c>
      <c r="K36" s="63">
        <f>'Додаток2 скор'!K35+Додаток3!E31+Додаток4!E26</f>
        <v>0</v>
      </c>
      <c r="L36" s="63">
        <f>'Додаток2 скор'!L35+Додаток3!F31+Додаток4!F26</f>
        <v>0</v>
      </c>
      <c r="M36" s="63">
        <f>SUM(M37:M39)</f>
        <v>0</v>
      </c>
      <c r="N36" s="63">
        <f>'Додаток2 скор'!N35+Додаток3!H31+Додаток4!H26</f>
        <v>0</v>
      </c>
      <c r="O36" s="64">
        <f t="shared" si="6"/>
        <v>0</v>
      </c>
      <c r="P36" s="63">
        <f>SUM(P37:P39)</f>
        <v>0</v>
      </c>
      <c r="Q36" s="63">
        <f>'Додаток2 скор'!Q35+Додаток3!H31+Додаток4!H26</f>
        <v>0</v>
      </c>
      <c r="R36" s="63">
        <f>SUM(R37:R39)</f>
        <v>0</v>
      </c>
      <c r="S36" s="63" t="e">
        <f>'Додаток2 скор'!S35+Додаток3!#REF!+Додаток4!#REF!</f>
        <v>#REF!</v>
      </c>
      <c r="T36" s="64">
        <f t="shared" si="5"/>
        <v>0</v>
      </c>
      <c r="U36" s="63">
        <f>SUM(U37:U39)</f>
        <v>0</v>
      </c>
      <c r="V36" s="63" t="e">
        <f>'Додаток2 скор'!V35+Додаток3!#REF!+Додаток4!#REF!</f>
        <v>#REF!</v>
      </c>
      <c r="W36" s="85">
        <v>0</v>
      </c>
      <c r="X36" s="66">
        <v>0</v>
      </c>
      <c r="Y36" s="67">
        <v>0</v>
      </c>
      <c r="Z36" s="66">
        <v>0</v>
      </c>
      <c r="AA36" s="67">
        <v>0</v>
      </c>
      <c r="AB36" s="66">
        <v>0</v>
      </c>
      <c r="AC36" s="67">
        <v>0</v>
      </c>
      <c r="AD36" s="66">
        <v>0</v>
      </c>
      <c r="AE36" s="68"/>
    </row>
    <row r="37" spans="1:110" ht="16.5" customHeight="1" hidden="1">
      <c r="A37" s="28" t="s">
        <v>43</v>
      </c>
      <c r="B37" s="35" t="s">
        <v>44</v>
      </c>
      <c r="C37" s="69" t="s">
        <v>84</v>
      </c>
      <c r="D37" s="70">
        <f t="shared" si="0"/>
        <v>0</v>
      </c>
      <c r="E37" s="70" t="e">
        <f>'Додаток2 скор'!E36+Додаток3!D32+Додаток4!D27</f>
        <v>#REF!</v>
      </c>
      <c r="F37" s="70">
        <f t="shared" si="1"/>
        <v>0</v>
      </c>
      <c r="G37" s="70" t="e">
        <f>'Додаток2 скор'!G36+Додаток3!D32+Додаток4!D27</f>
        <v>#REF!</v>
      </c>
      <c r="H37" s="63">
        <v>0</v>
      </c>
      <c r="I37" s="63">
        <f>'Додаток2 скор'!I36+Додаток3!F32+Додаток4!F27</f>
        <v>0</v>
      </c>
      <c r="J37" s="64">
        <f t="shared" si="2"/>
        <v>0</v>
      </c>
      <c r="K37" s="63">
        <f>'Додаток2 скор'!K36+Додаток3!E32+Додаток4!E27</f>
        <v>0</v>
      </c>
      <c r="L37" s="63">
        <f>'Додаток2 скор'!L36+Додаток3!F32+Додаток4!F27</f>
        <v>0</v>
      </c>
      <c r="M37" s="63">
        <v>0</v>
      </c>
      <c r="N37" s="63">
        <f>'Додаток2 скор'!N36+Додаток3!H32+Додаток4!H27</f>
        <v>0</v>
      </c>
      <c r="O37" s="64">
        <f t="shared" si="6"/>
        <v>0</v>
      </c>
      <c r="P37" s="63">
        <v>0</v>
      </c>
      <c r="Q37" s="63">
        <f>'Додаток2 скор'!Q36+Додаток3!H32+Додаток4!H27</f>
        <v>0</v>
      </c>
      <c r="R37" s="63">
        <v>0</v>
      </c>
      <c r="S37" s="63" t="e">
        <f>'Додаток2 скор'!S36+Додаток3!#REF!+Додаток4!#REF!</f>
        <v>#REF!</v>
      </c>
      <c r="T37" s="64">
        <f t="shared" si="5"/>
        <v>0</v>
      </c>
      <c r="U37" s="63">
        <v>0</v>
      </c>
      <c r="V37" s="63" t="e">
        <f>'Додаток2 скор'!V36+Додаток3!#REF!+Додаток4!#REF!</f>
        <v>#REF!</v>
      </c>
      <c r="W37" s="76">
        <v>0</v>
      </c>
      <c r="X37" s="73">
        <v>0</v>
      </c>
      <c r="Y37" s="74">
        <v>0</v>
      </c>
      <c r="Z37" s="73">
        <v>0</v>
      </c>
      <c r="AA37" s="74">
        <v>0</v>
      </c>
      <c r="AB37" s="75">
        <v>0</v>
      </c>
      <c r="AC37" s="74">
        <v>0</v>
      </c>
      <c r="AD37" s="75">
        <v>0</v>
      </c>
      <c r="AE37" s="68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</row>
    <row r="38" spans="1:110" ht="16.5" customHeight="1" hidden="1">
      <c r="A38" s="28" t="s">
        <v>45</v>
      </c>
      <c r="B38" s="35" t="s">
        <v>46</v>
      </c>
      <c r="C38" s="69" t="s">
        <v>84</v>
      </c>
      <c r="D38" s="70">
        <f t="shared" si="0"/>
        <v>0</v>
      </c>
      <c r="E38" s="70" t="e">
        <f>'Додаток2 скор'!E37+Додаток3!D33+Додаток4!D28</f>
        <v>#REF!</v>
      </c>
      <c r="F38" s="70">
        <f t="shared" si="1"/>
        <v>0</v>
      </c>
      <c r="G38" s="70" t="e">
        <f>'Додаток2 скор'!G37+Додаток3!D33+Додаток4!D28</f>
        <v>#REF!</v>
      </c>
      <c r="H38" s="63">
        <v>0</v>
      </c>
      <c r="I38" s="63">
        <f>'Додаток2 скор'!I37+Додаток3!F33+Додаток4!F28</f>
        <v>0</v>
      </c>
      <c r="J38" s="64">
        <f t="shared" si="2"/>
        <v>0</v>
      </c>
      <c r="K38" s="63">
        <f>'Додаток2 скор'!K37+Додаток3!E33+Додаток4!E28</f>
        <v>0</v>
      </c>
      <c r="L38" s="63">
        <f>'Додаток2 скор'!L37+Додаток3!F33+Додаток4!F28</f>
        <v>0</v>
      </c>
      <c r="M38" s="63">
        <v>0</v>
      </c>
      <c r="N38" s="63">
        <f>'Додаток2 скор'!N37+Додаток3!H33+Додаток4!H28</f>
        <v>0</v>
      </c>
      <c r="O38" s="64">
        <f t="shared" si="6"/>
        <v>0</v>
      </c>
      <c r="P38" s="63">
        <v>0</v>
      </c>
      <c r="Q38" s="63">
        <f>'Додаток2 скор'!Q37+Додаток3!H33+Додаток4!H28</f>
        <v>0</v>
      </c>
      <c r="R38" s="63">
        <v>0</v>
      </c>
      <c r="S38" s="63" t="e">
        <f>'Додаток2 скор'!S37+Додаток3!#REF!+Додаток4!#REF!</f>
        <v>#REF!</v>
      </c>
      <c r="T38" s="64">
        <f t="shared" si="5"/>
        <v>0</v>
      </c>
      <c r="U38" s="63">
        <v>0</v>
      </c>
      <c r="V38" s="63" t="e">
        <f>'Додаток2 скор'!V37+Додаток3!#REF!+Додаток4!#REF!</f>
        <v>#REF!</v>
      </c>
      <c r="W38" s="76">
        <v>0</v>
      </c>
      <c r="X38" s="73">
        <v>0</v>
      </c>
      <c r="Y38" s="74">
        <v>0</v>
      </c>
      <c r="Z38" s="73">
        <v>0</v>
      </c>
      <c r="AA38" s="74">
        <v>0</v>
      </c>
      <c r="AB38" s="75">
        <v>0</v>
      </c>
      <c r="AC38" s="74">
        <v>0</v>
      </c>
      <c r="AD38" s="75">
        <v>0</v>
      </c>
      <c r="AE38" s="68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</row>
    <row r="39" spans="1:110" ht="16.5" customHeight="1" hidden="1">
      <c r="A39" s="28" t="s">
        <v>47</v>
      </c>
      <c r="B39" s="35" t="s">
        <v>38</v>
      </c>
      <c r="C39" s="69" t="s">
        <v>84</v>
      </c>
      <c r="D39" s="70">
        <f t="shared" si="0"/>
        <v>0</v>
      </c>
      <c r="E39" s="70" t="e">
        <f>'Додаток2 скор'!E38+Додаток3!D34+Додаток4!D29</f>
        <v>#REF!</v>
      </c>
      <c r="F39" s="70">
        <f t="shared" si="1"/>
        <v>0</v>
      </c>
      <c r="G39" s="70" t="e">
        <f>'Додаток2 скор'!G38+Додаток3!D34+Додаток4!D29</f>
        <v>#REF!</v>
      </c>
      <c r="H39" s="63">
        <v>0</v>
      </c>
      <c r="I39" s="63">
        <f>'Додаток2 скор'!I38+Додаток3!F34+Додаток4!F29</f>
        <v>0</v>
      </c>
      <c r="J39" s="64">
        <f t="shared" si="2"/>
        <v>0</v>
      </c>
      <c r="K39" s="63">
        <f>'Додаток2 скор'!K38+Додаток3!E34+Додаток4!E29</f>
        <v>0</v>
      </c>
      <c r="L39" s="63">
        <f>'Додаток2 скор'!L38+Додаток3!F34+Додаток4!F29</f>
        <v>0</v>
      </c>
      <c r="M39" s="63">
        <v>0</v>
      </c>
      <c r="N39" s="63">
        <f>'Додаток2 скор'!N38+Додаток3!H34+Додаток4!H29</f>
        <v>0</v>
      </c>
      <c r="O39" s="64">
        <f t="shared" si="6"/>
        <v>0</v>
      </c>
      <c r="P39" s="63">
        <v>0</v>
      </c>
      <c r="Q39" s="63">
        <f>'Додаток2 скор'!Q38+Додаток3!H34+Додаток4!H29</f>
        <v>0</v>
      </c>
      <c r="R39" s="63">
        <v>0</v>
      </c>
      <c r="S39" s="63" t="e">
        <f>'Додаток2 скор'!S38+Додаток3!#REF!+Додаток4!#REF!</f>
        <v>#REF!</v>
      </c>
      <c r="T39" s="64">
        <f t="shared" si="5"/>
        <v>0</v>
      </c>
      <c r="U39" s="63">
        <v>0</v>
      </c>
      <c r="V39" s="63" t="e">
        <f>'Додаток2 скор'!V38+Додаток3!#REF!+Додаток4!#REF!</f>
        <v>#REF!</v>
      </c>
      <c r="W39" s="76">
        <v>0</v>
      </c>
      <c r="X39" s="73">
        <v>0</v>
      </c>
      <c r="Y39" s="74">
        <v>0</v>
      </c>
      <c r="Z39" s="73">
        <v>0</v>
      </c>
      <c r="AA39" s="74">
        <v>0</v>
      </c>
      <c r="AB39" s="75">
        <v>0</v>
      </c>
      <c r="AC39" s="74">
        <v>0</v>
      </c>
      <c r="AD39" s="75">
        <v>0</v>
      </c>
      <c r="AE39" s="68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</row>
    <row r="40" spans="1:31" s="27" customFormat="1" ht="16.5" customHeight="1">
      <c r="A40" s="13">
        <v>4</v>
      </c>
      <c r="B40" s="61" t="s">
        <v>50</v>
      </c>
      <c r="C40" s="62" t="s">
        <v>84</v>
      </c>
      <c r="D40" s="63" t="e">
        <f t="shared" si="0"/>
        <v>#REF!</v>
      </c>
      <c r="E40" s="63" t="e">
        <f>'Додаток2 скор'!E39+Додаток3!D35+Додаток4!D30</f>
        <v>#REF!</v>
      </c>
      <c r="F40" s="63" t="e">
        <f t="shared" si="1"/>
        <v>#REF!</v>
      </c>
      <c r="G40" s="63" t="e">
        <f>'Додаток2 скор'!G39+Додаток3!D35+Додаток4!D30</f>
        <v>#REF!</v>
      </c>
      <c r="H40" s="63">
        <f>'Додаток2 скор'!H39+Додаток3!E35+Додаток4!E30</f>
        <v>0</v>
      </c>
      <c r="I40" s="63">
        <f>'Додаток2 скор'!I39+Додаток3!F35+Додаток4!F30</f>
        <v>0</v>
      </c>
      <c r="J40" s="64">
        <f t="shared" si="2"/>
        <v>0</v>
      </c>
      <c r="K40" s="63">
        <f>'Додаток2 скор'!K39+Додаток3!E35+Додаток4!E30</f>
        <v>0</v>
      </c>
      <c r="L40" s="63">
        <f>'Додаток2 скор'!L39+Додаток3!F35+Додаток4!F30</f>
        <v>0</v>
      </c>
      <c r="M40" s="63">
        <f>'Додаток2 скор'!M39+Додаток3!G35+Додаток4!G30</f>
        <v>0</v>
      </c>
      <c r="N40" s="63">
        <f>'Додаток2 скор'!N39+Додаток3!H35+Додаток4!H30</f>
        <v>0</v>
      </c>
      <c r="O40" s="64">
        <f t="shared" si="6"/>
        <v>0</v>
      </c>
      <c r="P40" s="63">
        <f>'Додаток2 скор'!P39+Додаток3!G35+Додаток4!G30</f>
        <v>0</v>
      </c>
      <c r="Q40" s="63">
        <f>'Додаток2 скор'!Q39+Додаток3!H35+Додаток4!H30</f>
        <v>0</v>
      </c>
      <c r="R40" s="63" t="e">
        <f>'Додаток2 скор'!R39+Додаток3!#REF!+Додаток4!#REF!</f>
        <v>#REF!</v>
      </c>
      <c r="S40" s="63" t="e">
        <f>'Додаток2 скор'!S39+Додаток3!#REF!+Додаток4!#REF!</f>
        <v>#REF!</v>
      </c>
      <c r="T40" s="64" t="e">
        <f t="shared" si="5"/>
        <v>#REF!</v>
      </c>
      <c r="U40" s="63" t="e">
        <f>'Додаток2 скор'!U39+Додаток3!#REF!+Додаток4!#REF!</f>
        <v>#REF!</v>
      </c>
      <c r="V40" s="63" t="e">
        <f>'Додаток2 скор'!V39+Додаток3!#REF!+Додаток4!#REF!</f>
        <v>#REF!</v>
      </c>
      <c r="W40" s="85">
        <v>0</v>
      </c>
      <c r="X40" s="66">
        <v>0</v>
      </c>
      <c r="Y40" s="67">
        <v>0</v>
      </c>
      <c r="Z40" s="66">
        <v>0</v>
      </c>
      <c r="AA40" s="67">
        <v>0</v>
      </c>
      <c r="AB40" s="66">
        <v>0</v>
      </c>
      <c r="AC40" s="67">
        <v>0</v>
      </c>
      <c r="AD40" s="66">
        <v>0</v>
      </c>
      <c r="AE40" s="68"/>
    </row>
    <row r="41" spans="1:31" s="27" customFormat="1" ht="16.5" customHeight="1">
      <c r="A41" s="13">
        <v>5</v>
      </c>
      <c r="B41" s="61" t="s">
        <v>51</v>
      </c>
      <c r="C41" s="62" t="s">
        <v>84</v>
      </c>
      <c r="D41" s="63" t="e">
        <f t="shared" si="0"/>
        <v>#REF!</v>
      </c>
      <c r="E41" s="63" t="e">
        <f>'Додаток2 скор'!E40+Додаток3!D36+Додаток4!D31</f>
        <v>#REF!</v>
      </c>
      <c r="F41" s="63" t="e">
        <f t="shared" si="1"/>
        <v>#REF!</v>
      </c>
      <c r="G41" s="63" t="e">
        <f>'Додаток2 скор'!G40+Додаток3!D36+Додаток4!D31</f>
        <v>#REF!</v>
      </c>
      <c r="H41" s="63">
        <f>'Додаток2 скор'!H40+Додаток3!E36+Додаток4!E31</f>
        <v>0</v>
      </c>
      <c r="I41" s="63">
        <f>'Додаток2 скор'!I40+Додаток3!F36+Додаток4!F31</f>
        <v>0</v>
      </c>
      <c r="J41" s="64">
        <f t="shared" si="2"/>
        <v>0</v>
      </c>
      <c r="K41" s="63">
        <f>'Додаток2 скор'!K40+Додаток3!E36+Додаток4!E31</f>
        <v>0</v>
      </c>
      <c r="L41" s="63">
        <f>'Додаток2 скор'!L40+Додаток3!F36+Додаток4!F31</f>
        <v>0</v>
      </c>
      <c r="M41" s="63">
        <f>'Додаток2 скор'!M40+Додаток3!G36+Додаток4!G31</f>
        <v>0</v>
      </c>
      <c r="N41" s="63">
        <f>'Додаток2 скор'!N40+Додаток3!H36+Додаток4!H31</f>
        <v>0</v>
      </c>
      <c r="O41" s="64">
        <f t="shared" si="6"/>
        <v>0</v>
      </c>
      <c r="P41" s="63">
        <f>'Додаток2 скор'!P40+Додаток3!G36+Додаток4!G31</f>
        <v>0</v>
      </c>
      <c r="Q41" s="63">
        <f>'Додаток2 скор'!Q40+Додаток3!H36+Додаток4!H31</f>
        <v>0</v>
      </c>
      <c r="R41" s="63" t="e">
        <f>'Додаток2 скор'!R40+Додаток3!#REF!+Додаток4!#REF!</f>
        <v>#REF!</v>
      </c>
      <c r="S41" s="63" t="e">
        <f>'Додаток2 скор'!S40+Додаток3!#REF!+Додаток4!#REF!</f>
        <v>#REF!</v>
      </c>
      <c r="T41" s="64" t="e">
        <f t="shared" si="5"/>
        <v>#REF!</v>
      </c>
      <c r="U41" s="63" t="e">
        <f>'Додаток2 скор'!U40+Додаток3!#REF!+Додаток4!#REF!</f>
        <v>#REF!</v>
      </c>
      <c r="V41" s="63" t="e">
        <f>'Додаток2 скор'!V40+Додаток3!#REF!+Додаток4!#REF!</f>
        <v>#REF!</v>
      </c>
      <c r="W41" s="85">
        <v>0</v>
      </c>
      <c r="X41" s="66">
        <v>0</v>
      </c>
      <c r="Y41" s="67">
        <v>0</v>
      </c>
      <c r="Z41" s="66">
        <v>0</v>
      </c>
      <c r="AA41" s="67">
        <v>0</v>
      </c>
      <c r="AB41" s="66">
        <v>0</v>
      </c>
      <c r="AC41" s="67">
        <v>0</v>
      </c>
      <c r="AD41" s="66">
        <v>0</v>
      </c>
      <c r="AE41" s="68"/>
    </row>
    <row r="42" spans="1:31" s="27" customFormat="1" ht="16.5" customHeight="1">
      <c r="A42" s="13">
        <v>6</v>
      </c>
      <c r="B42" s="61" t="s">
        <v>52</v>
      </c>
      <c r="C42" s="62" t="s">
        <v>84</v>
      </c>
      <c r="D42" s="63" t="e">
        <f t="shared" si="0"/>
        <v>#REF!</v>
      </c>
      <c r="E42" s="63" t="e">
        <f>'Додаток2 скор'!E41+Додаток3!D37+Додаток4!D32</f>
        <v>#REF!</v>
      </c>
      <c r="F42" s="63" t="e">
        <f t="shared" si="1"/>
        <v>#REF!</v>
      </c>
      <c r="G42" s="63" t="e">
        <f>'Додаток2 скор'!G41+Додаток3!D37+Додаток4!D32</f>
        <v>#REF!</v>
      </c>
      <c r="H42" s="63">
        <f>H32+H8</f>
        <v>51776.372549773</v>
      </c>
      <c r="I42" s="63">
        <f>'Додаток2 скор'!I41+Додаток3!F37+Додаток4!F32</f>
        <v>343.051399076691</v>
      </c>
      <c r="J42" s="64">
        <f t="shared" si="2"/>
        <v>0.9999999999999999</v>
      </c>
      <c r="K42" s="63">
        <f>'Додаток2 скор'!K41+Додаток3!E37+Додаток4!E32</f>
        <v>51776.37254977299</v>
      </c>
      <c r="L42" s="63">
        <f>'Додаток2 скор'!L41+Додаток3!F37+Додаток4!F32</f>
        <v>343.051399076691</v>
      </c>
      <c r="M42" s="63">
        <f>M32+M8</f>
        <v>45914.55282735463</v>
      </c>
      <c r="N42" s="63">
        <f>'Додаток2 скор'!N41+Додаток3!H37+Додаток4!H32</f>
        <v>788.2908581948117</v>
      </c>
      <c r="O42" s="64">
        <f>P42/M42</f>
        <v>0.8185357651685444</v>
      </c>
      <c r="P42" s="63">
        <f>P32+P8</f>
        <v>37582.70363091028</v>
      </c>
      <c r="Q42" s="63">
        <f>'Додаток2 скор'!Q41+Додаток3!H37+Додаток4!H32</f>
        <v>623.1601634373629</v>
      </c>
      <c r="R42" s="63" t="e">
        <f>R32+R8</f>
        <v>#REF!</v>
      </c>
      <c r="S42" s="63" t="e">
        <f>'Додаток2 скор'!S41+Додаток3!#REF!+Додаток4!#REF!</f>
        <v>#REF!</v>
      </c>
      <c r="T42" s="64" t="e">
        <f>U42/R42</f>
        <v>#REF!</v>
      </c>
      <c r="U42" s="63" t="e">
        <f>U32+U8</f>
        <v>#REF!</v>
      </c>
      <c r="V42" s="63" t="e">
        <f>'Додаток2 скор'!V41+Додаток3!#REF!+Додаток4!#REF!</f>
        <v>#REF!</v>
      </c>
      <c r="W42" s="85">
        <v>19399.56</v>
      </c>
      <c r="X42" s="66">
        <v>316.46</v>
      </c>
      <c r="Y42" s="67">
        <v>13189.5</v>
      </c>
      <c r="Z42" s="66">
        <v>252.78</v>
      </c>
      <c r="AA42" s="67">
        <v>4924.47</v>
      </c>
      <c r="AB42" s="66">
        <v>680.64</v>
      </c>
      <c r="AC42" s="67">
        <v>1285.59</v>
      </c>
      <c r="AD42" s="66">
        <v>680.64</v>
      </c>
      <c r="AE42" s="68"/>
    </row>
    <row r="43" spans="1:31" s="27" customFormat="1" ht="18.75" customHeight="1">
      <c r="A43" s="13">
        <v>7</v>
      </c>
      <c r="B43" s="39" t="s">
        <v>54</v>
      </c>
      <c r="C43" s="62" t="s">
        <v>84</v>
      </c>
      <c r="D43" s="63" t="e">
        <f t="shared" si="0"/>
        <v>#REF!</v>
      </c>
      <c r="E43" s="63" t="e">
        <f>'Додаток2 скор'!E42+Додаток3!D39+Додаток4!D34</f>
        <v>#REF!</v>
      </c>
      <c r="F43" s="63" t="e">
        <f t="shared" si="1"/>
        <v>#REF!</v>
      </c>
      <c r="G43" s="63" t="e">
        <f>'Додаток2 скор'!G42+Додаток3!D39+Додаток4!D34</f>
        <v>#REF!</v>
      </c>
      <c r="H43" s="63">
        <f>SUM(H44:H48)</f>
        <v>0</v>
      </c>
      <c r="I43" s="63">
        <f>SUM(I44:I48)</f>
        <v>0</v>
      </c>
      <c r="J43" s="64">
        <f t="shared" si="2"/>
        <v>0</v>
      </c>
      <c r="K43" s="63">
        <f>SUM(K44:K48)</f>
        <v>0</v>
      </c>
      <c r="L43" s="63">
        <f>SUM(L44:L48)</f>
        <v>0</v>
      </c>
      <c r="M43" s="63">
        <f>SUM(M44:M48)</f>
        <v>0</v>
      </c>
      <c r="N43" s="63">
        <f>SUM(N44:N48)</f>
        <v>0</v>
      </c>
      <c r="O43" s="64">
        <f>IF(M43=0,0,P43/M43)</f>
        <v>0</v>
      </c>
      <c r="P43" s="63">
        <f>SUM(P44:P48)</f>
        <v>1701.5312178546174</v>
      </c>
      <c r="Q43" s="63">
        <f>SUM(Q44:Q48)</f>
        <v>33.72300980624177</v>
      </c>
      <c r="R43" s="63" t="e">
        <f>SUM(R44:R48)</f>
        <v>#REF!</v>
      </c>
      <c r="S43" s="63" t="e">
        <f>SUM(S44:S48)</f>
        <v>#REF!</v>
      </c>
      <c r="T43" s="64" t="e">
        <f>IF(R43=0,0,U43/R43)</f>
        <v>#REF!</v>
      </c>
      <c r="U43" s="63" t="e">
        <f>SUM(U44:U48)</f>
        <v>#REF!</v>
      </c>
      <c r="V43" s="63" t="e">
        <f>SUM(V44:V48)</f>
        <v>#REF!</v>
      </c>
      <c r="W43" s="85">
        <v>0</v>
      </c>
      <c r="X43" s="66">
        <v>0</v>
      </c>
      <c r="Y43" s="67">
        <v>0</v>
      </c>
      <c r="Z43" s="66">
        <v>0</v>
      </c>
      <c r="AA43" s="67">
        <v>0</v>
      </c>
      <c r="AB43" s="66">
        <v>0</v>
      </c>
      <c r="AC43" s="67">
        <v>0</v>
      </c>
      <c r="AD43" s="66">
        <v>0</v>
      </c>
      <c r="AE43" s="68"/>
    </row>
    <row r="44" spans="1:110" ht="16.5" customHeight="1">
      <c r="A44" s="28" t="s">
        <v>101</v>
      </c>
      <c r="B44" s="35" t="s">
        <v>56</v>
      </c>
      <c r="C44" s="69" t="s">
        <v>84</v>
      </c>
      <c r="D44" s="70" t="e">
        <f t="shared" si="0"/>
        <v>#REF!</v>
      </c>
      <c r="E44" s="70" t="e">
        <f>'Додаток2 скор'!E43+Додаток3!D40+Додаток4!D35</f>
        <v>#REF!</v>
      </c>
      <c r="F44" s="70" t="e">
        <f t="shared" si="1"/>
        <v>#REF!</v>
      </c>
      <c r="G44" s="70" t="e">
        <f>'Додаток2 скор'!G43+Додаток3!D40+Додаток4!D35</f>
        <v>#REF!</v>
      </c>
      <c r="H44" s="70">
        <f>'Додаток2 скор'!H43+Додаток3!E40+Додаток4!E35</f>
        <v>0</v>
      </c>
      <c r="I44" s="70">
        <f>'Додаток2 скор'!I43+Додаток3!F40+Додаток4!F35</f>
        <v>0</v>
      </c>
      <c r="J44" s="71">
        <f t="shared" si="2"/>
        <v>0</v>
      </c>
      <c r="K44" s="70">
        <f>'Додаток2 скор'!K43+Додаток3!E40+Додаток4!E35</f>
        <v>0</v>
      </c>
      <c r="L44" s="70">
        <f>'Додаток2 скор'!L43+Додаток3!F40+Додаток4!F35</f>
        <v>0</v>
      </c>
      <c r="M44" s="70">
        <f>'Додаток2 скор'!M43+Додаток3!G40+Додаток4!G35</f>
        <v>0</v>
      </c>
      <c r="N44" s="70">
        <f>'Додаток2 скор'!N43+Додаток3!H40+Додаток4!H35</f>
        <v>0</v>
      </c>
      <c r="O44" s="71">
        <f>IF(M44=0,0,1)</f>
        <v>0</v>
      </c>
      <c r="P44" s="70">
        <f>'Додаток2 скор'!P43+Додаток3!G40+Додаток4!G35</f>
        <v>0</v>
      </c>
      <c r="Q44" s="70">
        <f>'Додаток2 скор'!Q43+Додаток3!H40+Додаток4!H35</f>
        <v>0</v>
      </c>
      <c r="R44" s="70" t="e">
        <f>'Додаток2 скор'!R43+Додаток3!#REF!+Додаток4!#REF!</f>
        <v>#REF!</v>
      </c>
      <c r="S44" s="70" t="e">
        <f>'Додаток2 скор'!S43+Додаток3!#REF!+Додаток4!#REF!</f>
        <v>#REF!</v>
      </c>
      <c r="T44" s="71" t="e">
        <f>IF(R44=0,0,1)</f>
        <v>#REF!</v>
      </c>
      <c r="U44" s="70" t="e">
        <f>'Додаток2 скор'!U43+Додаток3!#REF!+Додаток4!#REF!</f>
        <v>#REF!</v>
      </c>
      <c r="V44" s="70" t="e">
        <f>'Додаток2 скор'!V43+Додаток3!#REF!+Додаток4!#REF!</f>
        <v>#REF!</v>
      </c>
      <c r="W44" s="76">
        <v>0</v>
      </c>
      <c r="X44" s="73">
        <v>0</v>
      </c>
      <c r="Y44" s="74">
        <v>0</v>
      </c>
      <c r="Z44" s="73">
        <v>0</v>
      </c>
      <c r="AA44" s="74">
        <v>0</v>
      </c>
      <c r="AB44" s="75">
        <v>0</v>
      </c>
      <c r="AC44" s="74">
        <v>0</v>
      </c>
      <c r="AD44" s="75">
        <v>0</v>
      </c>
      <c r="AE44" s="68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</row>
    <row r="45" spans="1:110" ht="16.5" customHeight="1" hidden="1">
      <c r="A45" s="28" t="s">
        <v>57</v>
      </c>
      <c r="B45" s="35" t="s">
        <v>58</v>
      </c>
      <c r="C45" s="69" t="s">
        <v>84</v>
      </c>
      <c r="D45" s="70" t="e">
        <f t="shared" si="0"/>
        <v>#REF!</v>
      </c>
      <c r="E45" s="70" t="e">
        <f>'Додаток2 скор'!E44+Додаток3!D41+Додаток4!D36</f>
        <v>#REF!</v>
      </c>
      <c r="F45" s="70" t="e">
        <f t="shared" si="1"/>
        <v>#REF!</v>
      </c>
      <c r="G45" s="70" t="e">
        <f>'Додаток2 скор'!G44+Додаток3!D41+Додаток4!D36</f>
        <v>#REF!</v>
      </c>
      <c r="H45" s="70">
        <f>'Додаток2 скор'!H44+Додаток3!E41+Додаток4!E36</f>
        <v>0</v>
      </c>
      <c r="I45" s="70">
        <f>'Додаток2 скор'!I44+Додаток3!F41+Додаток4!F36</f>
        <v>0</v>
      </c>
      <c r="J45" s="71">
        <f t="shared" si="2"/>
        <v>0</v>
      </c>
      <c r="K45" s="70">
        <f>'Додаток2 скор'!K44+Додаток3!E41+Додаток4!E36</f>
        <v>0</v>
      </c>
      <c r="L45" s="70">
        <f>'Додаток2 скор'!L44+Додаток3!F41+Додаток4!F36</f>
        <v>0</v>
      </c>
      <c r="M45" s="70">
        <f>'Додаток2 скор'!M44+Додаток3!G41+Додаток4!G36</f>
        <v>0</v>
      </c>
      <c r="N45" s="70">
        <f>'Додаток2 скор'!N44+Додаток3!H41+Додаток4!H36</f>
        <v>0</v>
      </c>
      <c r="O45" s="71">
        <f>IF(M45=0,0,1)</f>
        <v>0</v>
      </c>
      <c r="P45" s="70">
        <f>'Додаток2 скор'!P44+Додаток3!G41+Додаток4!G36</f>
        <v>0</v>
      </c>
      <c r="Q45" s="70">
        <f>'Додаток2 скор'!Q44+Додаток3!H41+Додаток4!H36</f>
        <v>0</v>
      </c>
      <c r="R45" s="70" t="e">
        <f>'Додаток2 скор'!R44+Додаток3!#REF!+Додаток4!#REF!</f>
        <v>#REF!</v>
      </c>
      <c r="S45" s="70" t="e">
        <f>'Додаток2 скор'!S44+Додаток3!#REF!+Додаток4!#REF!</f>
        <v>#REF!</v>
      </c>
      <c r="T45" s="71" t="e">
        <f>IF(R45=0,0,1)</f>
        <v>#REF!</v>
      </c>
      <c r="U45" s="70" t="e">
        <f>'Додаток2 скор'!U44+Додаток3!#REF!+Додаток4!#REF!</f>
        <v>#REF!</v>
      </c>
      <c r="V45" s="70" t="e">
        <f>'Додаток2 скор'!V44+Додаток3!#REF!+Додаток4!#REF!</f>
        <v>#REF!</v>
      </c>
      <c r="W45" s="76">
        <v>0</v>
      </c>
      <c r="X45" s="73">
        <v>0</v>
      </c>
      <c r="Y45" s="74">
        <v>0</v>
      </c>
      <c r="Z45" s="73">
        <v>0</v>
      </c>
      <c r="AA45" s="74">
        <v>0</v>
      </c>
      <c r="AB45" s="75">
        <v>0</v>
      </c>
      <c r="AC45" s="74">
        <v>0</v>
      </c>
      <c r="AD45" s="75">
        <v>0</v>
      </c>
      <c r="AE45" s="68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</row>
    <row r="46" spans="1:110" ht="16.5" customHeight="1">
      <c r="A46" s="28" t="s">
        <v>57</v>
      </c>
      <c r="B46" s="35" t="str">
        <f>'Додаток2 скор'!B45</f>
        <v>резервний фонд (капітал) та дивіденди </v>
      </c>
      <c r="C46" s="69" t="s">
        <v>84</v>
      </c>
      <c r="D46" s="70" t="e">
        <f t="shared" si="0"/>
        <v>#REF!</v>
      </c>
      <c r="E46" s="70" t="e">
        <f>'Додаток2 скор'!E45+Додаток3!D42+Додаток4!D37</f>
        <v>#REF!</v>
      </c>
      <c r="F46" s="70" t="e">
        <f t="shared" si="1"/>
        <v>#REF!</v>
      </c>
      <c r="G46" s="70" t="e">
        <f>'Додаток2 скор'!G45+Додаток3!D42+Додаток4!D37</f>
        <v>#REF!</v>
      </c>
      <c r="H46" s="70">
        <f>'Додаток2 скор'!H45+Додаток3!E42+Додаток4!E37</f>
        <v>0</v>
      </c>
      <c r="I46" s="70">
        <f>'Додаток2 скор'!I45+Додаток3!F42+Додаток4!F37</f>
        <v>0</v>
      </c>
      <c r="J46" s="71">
        <f t="shared" si="2"/>
        <v>0</v>
      </c>
      <c r="K46" s="70">
        <f>'Додаток2 скор'!K45+Додаток3!E42+Додаток4!E37</f>
        <v>0</v>
      </c>
      <c r="L46" s="70">
        <f>'Додаток2 скор'!L45+Додаток3!F42+Додаток4!F37</f>
        <v>0</v>
      </c>
      <c r="M46" s="70">
        <f>'Додаток2 скор'!M45+Додаток3!G42+Додаток4!G37</f>
        <v>0</v>
      </c>
      <c r="N46" s="70">
        <f>'Додаток2 скор'!N45+Додаток3!H42+Додаток4!H37</f>
        <v>0</v>
      </c>
      <c r="O46" s="71">
        <f>IF(M46=0,0,1)</f>
        <v>0</v>
      </c>
      <c r="P46" s="70">
        <f>'Додаток2 скор'!P45+Додаток3!G42+Додаток4!G37</f>
        <v>0</v>
      </c>
      <c r="Q46" s="70">
        <f>'Додаток2 скор'!Q45+Додаток3!H42+Додаток4!H37</f>
        <v>0</v>
      </c>
      <c r="R46" s="70" t="e">
        <f>'Додаток2 скор'!R45+Додаток3!#REF!+Додаток4!#REF!</f>
        <v>#REF!</v>
      </c>
      <c r="S46" s="70" t="e">
        <f>'Додаток2 скор'!S45+Додаток3!#REF!+Додаток4!#REF!</f>
        <v>#REF!</v>
      </c>
      <c r="T46" s="71" t="e">
        <f>IF(R46=0,0,1)</f>
        <v>#REF!</v>
      </c>
      <c r="U46" s="70" t="e">
        <f>'Додаток2 скор'!U45+Додаток3!#REF!+Додаток4!#REF!</f>
        <v>#REF!</v>
      </c>
      <c r="V46" s="70" t="e">
        <f>'Додаток2 скор'!V45+Додаток3!#REF!+Додаток4!#REF!</f>
        <v>#REF!</v>
      </c>
      <c r="W46" s="76">
        <v>0</v>
      </c>
      <c r="X46" s="73">
        <v>0</v>
      </c>
      <c r="Y46" s="74">
        <v>0</v>
      </c>
      <c r="Z46" s="73">
        <v>0</v>
      </c>
      <c r="AA46" s="74">
        <v>0</v>
      </c>
      <c r="AB46" s="75">
        <v>0</v>
      </c>
      <c r="AC46" s="74">
        <v>0</v>
      </c>
      <c r="AD46" s="75">
        <v>0</v>
      </c>
      <c r="AE46" s="68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</row>
    <row r="47" spans="1:110" ht="17.25" customHeight="1">
      <c r="A47" s="28" t="s">
        <v>102</v>
      </c>
      <c r="B47" s="35" t="s">
        <v>61</v>
      </c>
      <c r="C47" s="69" t="s">
        <v>84</v>
      </c>
      <c r="D47" s="70">
        <f t="shared" si="0"/>
        <v>0</v>
      </c>
      <c r="E47" s="70" t="e">
        <f>'Додаток2 скор'!E46+Додаток3!D43+Додаток4!D38</f>
        <v>#REF!</v>
      </c>
      <c r="F47" s="70" t="e">
        <f t="shared" si="1"/>
        <v>#REF!</v>
      </c>
      <c r="G47" s="70" t="e">
        <f>'Додаток2 скор'!G46+Додаток3!D43+Додаток4!D38</f>
        <v>#REF!</v>
      </c>
      <c r="H47" s="70">
        <f>'Додаток2 скор'!H46+Додаток3!E43+Додаток4!E38</f>
        <v>0</v>
      </c>
      <c r="I47" s="70">
        <f>'Додаток2 скор'!I46+Додаток3!F43+Додаток4!F38</f>
        <v>0</v>
      </c>
      <c r="J47" s="71">
        <f t="shared" si="2"/>
        <v>0</v>
      </c>
      <c r="K47" s="70">
        <f>'Додаток2 скор'!K46+Додаток3!E43+Додаток4!E38</f>
        <v>0</v>
      </c>
      <c r="L47" s="70">
        <f>'Додаток2 скор'!L46+Додаток3!F43+Додаток4!F38</f>
        <v>0</v>
      </c>
      <c r="M47" s="70">
        <v>0</v>
      </c>
      <c r="N47" s="70">
        <v>0</v>
      </c>
      <c r="O47" s="71">
        <f>IF(M47=0,0,1)</f>
        <v>0</v>
      </c>
      <c r="P47" s="70">
        <f>'Додаток2 скор'!P46+Додаток3!G43+Додаток4!G38</f>
        <v>1701.5312178546174</v>
      </c>
      <c r="Q47" s="70">
        <f>'Додаток2 скор'!Q46+Додаток3!H43+Додаток4!H38</f>
        <v>33.72300980624177</v>
      </c>
      <c r="R47" s="70">
        <v>0</v>
      </c>
      <c r="S47" s="70">
        <v>0</v>
      </c>
      <c r="T47" s="71">
        <f>IF(R47=0,0,1)</f>
        <v>0</v>
      </c>
      <c r="U47" s="70" t="e">
        <f>'Додаток2 скор'!U46+Додаток3!#REF!+Додаток4!#REF!</f>
        <v>#REF!</v>
      </c>
      <c r="V47" s="70" t="e">
        <f>'Додаток2 скор'!V46+Додаток3!#REF!+Додаток4!#REF!</f>
        <v>#REF!</v>
      </c>
      <c r="W47" s="76">
        <v>0</v>
      </c>
      <c r="X47" s="73">
        <v>0</v>
      </c>
      <c r="Y47" s="74">
        <v>0</v>
      </c>
      <c r="Z47" s="73">
        <v>0</v>
      </c>
      <c r="AA47" s="74">
        <v>0</v>
      </c>
      <c r="AB47" s="75">
        <v>0</v>
      </c>
      <c r="AC47" s="74">
        <v>0</v>
      </c>
      <c r="AD47" s="75">
        <v>0</v>
      </c>
      <c r="AE47" s="68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</row>
    <row r="48" spans="1:110" ht="16.5" customHeight="1">
      <c r="A48" s="28" t="s">
        <v>103</v>
      </c>
      <c r="B48" s="35" t="s">
        <v>104</v>
      </c>
      <c r="C48" s="69" t="s">
        <v>84</v>
      </c>
      <c r="D48" s="63" t="e">
        <f t="shared" si="0"/>
        <v>#REF!</v>
      </c>
      <c r="E48" s="70" t="e">
        <f>'Додаток2 скор'!E47+Додаток3!D44+Додаток4!D39</f>
        <v>#REF!</v>
      </c>
      <c r="F48" s="63" t="e">
        <f t="shared" si="1"/>
        <v>#REF!</v>
      </c>
      <c r="G48" s="70" t="e">
        <f>'Додаток2 скор'!G47+Додаток3!D44+Додаток4!D39</f>
        <v>#REF!</v>
      </c>
      <c r="H48" s="70">
        <f>'Додаток2 скор'!H47+Додаток3!E44+Додаток4!E39</f>
        <v>0</v>
      </c>
      <c r="I48" s="70">
        <f>'Додаток2 скор'!I47+Додаток3!F44+Додаток4!F39</f>
        <v>0</v>
      </c>
      <c r="J48" s="71">
        <f t="shared" si="2"/>
        <v>0</v>
      </c>
      <c r="K48" s="70">
        <f>'Додаток2 скор'!K47+Додаток3!E44+Додаток4!E39</f>
        <v>0</v>
      </c>
      <c r="L48" s="70">
        <f>'Додаток2 скор'!L47+Додаток3!F44+Додаток4!F39</f>
        <v>0</v>
      </c>
      <c r="M48" s="70">
        <f>'Додаток2 скор'!M47+Додаток3!G44+Додаток4!G39</f>
        <v>0</v>
      </c>
      <c r="N48" s="70">
        <f>'Додаток2 скор'!N47+Додаток3!H44+Додаток4!H39</f>
        <v>0</v>
      </c>
      <c r="O48" s="71">
        <f>IF(M48=0,0,P48/M48)</f>
        <v>0</v>
      </c>
      <c r="P48" s="70">
        <f>'Додаток2 скор'!P47+Додаток3!G44+Додаток4!G39</f>
        <v>0</v>
      </c>
      <c r="Q48" s="70">
        <f>'Додаток2 скор'!Q47+Додаток3!H44+Додаток4!H39</f>
        <v>0</v>
      </c>
      <c r="R48" s="70" t="e">
        <f>'Додаток2 скор'!R47+Додаток3!#REF!+Додаток4!#REF!</f>
        <v>#REF!</v>
      </c>
      <c r="S48" s="70" t="e">
        <f>'Додаток2 скор'!S47+Додаток3!#REF!+Додаток4!#REF!</f>
        <v>#REF!</v>
      </c>
      <c r="T48" s="71" t="e">
        <f>IF(R48=0,0,U48/R48)</f>
        <v>#REF!</v>
      </c>
      <c r="U48" s="70" t="e">
        <f>'Додаток2 скор'!U47+Додаток3!#REF!+Додаток4!#REF!</f>
        <v>#REF!</v>
      </c>
      <c r="V48" s="70" t="e">
        <f>'Додаток2 скор'!V47+Додаток3!#REF!+Додаток4!#REF!</f>
        <v>#REF!</v>
      </c>
      <c r="W48" s="76">
        <v>0</v>
      </c>
      <c r="X48" s="73">
        <v>0</v>
      </c>
      <c r="Y48" s="74">
        <v>0</v>
      </c>
      <c r="Z48" s="73">
        <v>0</v>
      </c>
      <c r="AA48" s="74">
        <v>0</v>
      </c>
      <c r="AB48" s="75">
        <v>0</v>
      </c>
      <c r="AC48" s="74">
        <v>0</v>
      </c>
      <c r="AD48" s="75">
        <v>0</v>
      </c>
      <c r="AE48" s="68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</row>
    <row r="49" spans="1:31" s="27" customFormat="1" ht="33" customHeight="1">
      <c r="A49" s="13">
        <v>8</v>
      </c>
      <c r="B49" s="61" t="s">
        <v>105</v>
      </c>
      <c r="C49" s="62" t="s">
        <v>84</v>
      </c>
      <c r="D49" s="63" t="e">
        <f t="shared" si="0"/>
        <v>#REF!</v>
      </c>
      <c r="E49" s="63" t="e">
        <f>'Додаток2 скор'!E48+Додаток3!D45+Додаток4!D40</f>
        <v>#REF!</v>
      </c>
      <c r="F49" s="63" t="e">
        <f t="shared" si="1"/>
        <v>#REF!</v>
      </c>
      <c r="G49" s="63" t="e">
        <f>'Додаток2 скор'!G48+Додаток3!D45+Додаток4!D40</f>
        <v>#REF!</v>
      </c>
      <c r="H49" s="63">
        <f>H42+H43</f>
        <v>51776.372549773</v>
      </c>
      <c r="I49" s="63">
        <f>'Додаток2 скор'!I48+Додаток3!F45+Додаток4!F40</f>
        <v>343.051399076691</v>
      </c>
      <c r="J49" s="64">
        <f t="shared" si="2"/>
        <v>0.9999999999999999</v>
      </c>
      <c r="K49" s="63">
        <f>K42+K43</f>
        <v>51776.37254977299</v>
      </c>
      <c r="L49" s="63">
        <f>L42+L43</f>
        <v>343.051399076691</v>
      </c>
      <c r="M49" s="63">
        <f>M42+M43</f>
        <v>45914.55282735463</v>
      </c>
      <c r="N49" s="63">
        <f>N42+N43</f>
        <v>788.2908581948117</v>
      </c>
      <c r="O49" s="64">
        <f>P49/M49</f>
        <v>0.8555944124399797</v>
      </c>
      <c r="P49" s="63">
        <f>P42+P43</f>
        <v>39284.23484876489</v>
      </c>
      <c r="Q49" s="63">
        <f>Q42+Q43</f>
        <v>656.8831732436047</v>
      </c>
      <c r="R49" s="63" t="e">
        <f>R42+R43</f>
        <v>#REF!</v>
      </c>
      <c r="S49" s="63" t="e">
        <f>S42+S43</f>
        <v>#REF!</v>
      </c>
      <c r="T49" s="64" t="e">
        <f>U49/R49</f>
        <v>#REF!</v>
      </c>
      <c r="U49" s="63" t="e">
        <f>U42+U43</f>
        <v>#REF!</v>
      </c>
      <c r="V49" s="63" t="e">
        <f>V42+V43</f>
        <v>#REF!</v>
      </c>
      <c r="W49" s="85">
        <v>19399.56</v>
      </c>
      <c r="X49" s="66">
        <v>316.46</v>
      </c>
      <c r="Y49" s="67">
        <v>13189.5</v>
      </c>
      <c r="Z49" s="66">
        <v>252.78</v>
      </c>
      <c r="AA49" s="67">
        <v>4924.47</v>
      </c>
      <c r="AB49" s="66">
        <v>680.64</v>
      </c>
      <c r="AC49" s="67">
        <v>1285.59</v>
      </c>
      <c r="AD49" s="66">
        <v>680.64</v>
      </c>
      <c r="AE49" s="68" t="e">
        <f>((V49*U51)+(Q49*P51)+(I49*H51))/F51</f>
        <v>#REF!</v>
      </c>
    </row>
    <row r="50" spans="1:31" s="27" customFormat="1" ht="22.5" customHeight="1">
      <c r="A50" s="13">
        <v>9</v>
      </c>
      <c r="B50" s="61" t="s">
        <v>106</v>
      </c>
      <c r="C50" s="86"/>
      <c r="D50" s="63"/>
      <c r="E50" s="63" t="e">
        <f>E49</f>
        <v>#REF!</v>
      </c>
      <c r="F50" s="63"/>
      <c r="G50" s="63" t="e">
        <f>G49</f>
        <v>#REF!</v>
      </c>
      <c r="H50" s="63"/>
      <c r="I50" s="63">
        <f>I49</f>
        <v>343.051399076691</v>
      </c>
      <c r="J50" s="64">
        <f>L50/I50</f>
        <v>1</v>
      </c>
      <c r="K50" s="63"/>
      <c r="L50" s="63">
        <f>L49</f>
        <v>343.051399076691</v>
      </c>
      <c r="M50" s="63"/>
      <c r="N50" s="63">
        <f>N49</f>
        <v>788.2908581948117</v>
      </c>
      <c r="O50" s="64">
        <f>Q50/N50</f>
        <v>0.8333005088348595</v>
      </c>
      <c r="P50" s="63"/>
      <c r="Q50" s="63">
        <f>Q49</f>
        <v>656.8831732436047</v>
      </c>
      <c r="R50" s="63"/>
      <c r="S50" s="63" t="e">
        <f>S49</f>
        <v>#REF!</v>
      </c>
      <c r="T50" s="64" t="e">
        <f>V50/S50</f>
        <v>#REF!</v>
      </c>
      <c r="U50" s="63"/>
      <c r="V50" s="63" t="e">
        <f>V49</f>
        <v>#REF!</v>
      </c>
      <c r="W50" s="87">
        <v>316.46</v>
      </c>
      <c r="X50" s="66">
        <v>316.46</v>
      </c>
      <c r="Y50" s="66">
        <v>252.78</v>
      </c>
      <c r="Z50" s="66">
        <v>252.78</v>
      </c>
      <c r="AA50" s="66">
        <v>680.64</v>
      </c>
      <c r="AB50" s="66">
        <v>680.64</v>
      </c>
      <c r="AC50" s="66">
        <v>680.64</v>
      </c>
      <c r="AD50" s="66">
        <v>680.64</v>
      </c>
      <c r="AE50" s="68" t="e">
        <f>((S49*R51)+(N49*M51)+(I49*H51))/D51</f>
        <v>#REF!</v>
      </c>
    </row>
    <row r="51" spans="1:22" s="27" customFormat="1" ht="30" customHeight="1">
      <c r="A51" s="13">
        <v>10</v>
      </c>
      <c r="B51" s="61" t="s">
        <v>65</v>
      </c>
      <c r="C51" s="62" t="s">
        <v>107</v>
      </c>
      <c r="D51" s="63">
        <f>H51+M51+R51</f>
        <v>211940.33</v>
      </c>
      <c r="E51" s="63"/>
      <c r="F51" s="63">
        <f>K51+P51+U51</f>
        <v>211940.33</v>
      </c>
      <c r="G51" s="63"/>
      <c r="H51" s="63">
        <f>'Додаток2 скор'!H50</f>
        <v>150928.68</v>
      </c>
      <c r="I51" s="63"/>
      <c r="J51" s="64">
        <f>K51/H51</f>
        <v>1</v>
      </c>
      <c r="K51" s="63">
        <f>'Додаток2 скор'!K50</f>
        <v>150928.68</v>
      </c>
      <c r="L51" s="63"/>
      <c r="M51" s="63">
        <f>'Додаток2 скор'!M50</f>
        <v>50456.09</v>
      </c>
      <c r="N51" s="63"/>
      <c r="O51" s="64">
        <f>P51/M51</f>
        <v>1</v>
      </c>
      <c r="P51" s="63">
        <f>'Додаток2 скор'!P50</f>
        <v>50456.09</v>
      </c>
      <c r="Q51" s="63"/>
      <c r="R51" s="63">
        <f>'Додаток2 скор'!R50</f>
        <v>10555.56</v>
      </c>
      <c r="S51" s="63"/>
      <c r="T51" s="64">
        <f>U51/R51</f>
        <v>1</v>
      </c>
      <c r="U51" s="63">
        <f>'Додаток2 скор'!U50</f>
        <v>10555.56</v>
      </c>
      <c r="V51" s="63"/>
    </row>
    <row r="52" spans="1:22" s="27" customFormat="1" ht="21.75" customHeight="1">
      <c r="A52" s="13">
        <v>11</v>
      </c>
      <c r="B52" s="61" t="s">
        <v>108</v>
      </c>
      <c r="C52" s="62"/>
      <c r="D52" s="63" t="e">
        <f aca="true" t="shared" si="7" ref="D52:I52">D43/D42*100</f>
        <v>#REF!</v>
      </c>
      <c r="E52" s="63" t="e">
        <f t="shared" si="7"/>
        <v>#REF!</v>
      </c>
      <c r="F52" s="63" t="e">
        <f t="shared" si="7"/>
        <v>#REF!</v>
      </c>
      <c r="G52" s="63" t="e">
        <f t="shared" si="7"/>
        <v>#REF!</v>
      </c>
      <c r="H52" s="63">
        <f t="shared" si="7"/>
        <v>0</v>
      </c>
      <c r="I52" s="88">
        <f t="shared" si="7"/>
        <v>0</v>
      </c>
      <c r="J52" s="64">
        <f>IF(H52=0,0,K52/H52)</f>
        <v>0</v>
      </c>
      <c r="K52" s="63">
        <f>K43/K42*100</f>
        <v>0</v>
      </c>
      <c r="L52" s="63">
        <f>L43/L42*100</f>
        <v>0</v>
      </c>
      <c r="M52" s="63">
        <f>M43/M42*100</f>
        <v>0</v>
      </c>
      <c r="N52" s="63">
        <f>N43/N42*100</f>
        <v>0</v>
      </c>
      <c r="O52" s="64">
        <f>IF(M52=0,0,P52/M52)</f>
        <v>0</v>
      </c>
      <c r="P52" s="63">
        <f>P43/P42*100</f>
        <v>4.527431646655606</v>
      </c>
      <c r="Q52" s="63">
        <f>Q43/Q42*100</f>
        <v>5.411611939412979</v>
      </c>
      <c r="R52" s="63" t="e">
        <f>R43/R42*100</f>
        <v>#REF!</v>
      </c>
      <c r="S52" s="63" t="e">
        <f>S43/S42*100</f>
        <v>#REF!</v>
      </c>
      <c r="T52" s="64" t="e">
        <f>IF(R52=0,0,U52/R52)</f>
        <v>#REF!</v>
      </c>
      <c r="U52" s="63" t="e">
        <f>U43/U42*100</f>
        <v>#REF!</v>
      </c>
      <c r="V52" s="63" t="e">
        <f>V43/V42*100</f>
        <v>#REF!</v>
      </c>
    </row>
    <row r="53" spans="1:22" s="27" customFormat="1" ht="21.75" customHeight="1">
      <c r="A53" s="13">
        <v>12</v>
      </c>
      <c r="B53" s="61" t="s">
        <v>109</v>
      </c>
      <c r="C53" s="62"/>
      <c r="D53" s="63"/>
      <c r="E53" s="63"/>
      <c r="F53" s="63"/>
      <c r="G53" s="63"/>
      <c r="H53" s="63"/>
      <c r="I53" s="89">
        <v>257.91</v>
      </c>
      <c r="J53" s="64"/>
      <c r="K53" s="63"/>
      <c r="L53" s="63">
        <f>I53</f>
        <v>257.91</v>
      </c>
      <c r="M53" s="63"/>
      <c r="N53" s="90">
        <v>835.36</v>
      </c>
      <c r="O53" s="64"/>
      <c r="P53" s="63"/>
      <c r="Q53" s="63">
        <f>N53</f>
        <v>835.36</v>
      </c>
      <c r="R53" s="63"/>
      <c r="S53" s="91">
        <v>835.36</v>
      </c>
      <c r="T53" s="64"/>
      <c r="U53" s="63">
        <f>S53</f>
        <v>835.36</v>
      </c>
      <c r="V53" s="63"/>
    </row>
    <row r="54" spans="1:22" s="93" customFormat="1" ht="20.25" customHeight="1">
      <c r="A54" s="304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R54" s="304"/>
      <c r="S54" s="304"/>
      <c r="T54" s="304"/>
      <c r="U54" s="304"/>
      <c r="V54" s="304"/>
    </row>
    <row r="55" spans="10:12" ht="12.75">
      <c r="J55" s="2"/>
      <c r="K55" s="2"/>
      <c r="L55" s="2"/>
    </row>
    <row r="56" spans="10:12" ht="12.75">
      <c r="J56" s="2"/>
      <c r="K56" s="2"/>
      <c r="L56" s="2"/>
    </row>
    <row r="57" spans="10:15" ht="12.75">
      <c r="J57" s="2"/>
      <c r="K57" s="2"/>
      <c r="L57" s="2"/>
      <c r="O57" s="2">
        <f>IF(M57=0,0,1)</f>
        <v>0</v>
      </c>
    </row>
  </sheetData>
  <sheetProtection selectLockedCells="1" selectUnlockedCells="1"/>
  <mergeCells count="24">
    <mergeCell ref="D4:G4"/>
    <mergeCell ref="H4:L4"/>
    <mergeCell ref="M4:Q4"/>
    <mergeCell ref="R4:V4"/>
    <mergeCell ref="M5:N5"/>
    <mergeCell ref="P5:Q5"/>
    <mergeCell ref="R5:S5"/>
    <mergeCell ref="U5:V5"/>
    <mergeCell ref="A2:V2"/>
    <mergeCell ref="B3:N3"/>
    <mergeCell ref="R3:S3"/>
    <mergeCell ref="U3:V3"/>
    <mergeCell ref="A4:A6"/>
    <mergeCell ref="B4:B6"/>
    <mergeCell ref="A54:O54"/>
    <mergeCell ref="R54:V54"/>
    <mergeCell ref="W4:X4"/>
    <mergeCell ref="Y4:Z4"/>
    <mergeCell ref="AA4:AB4"/>
    <mergeCell ref="AC4:AD4"/>
    <mergeCell ref="D5:E5"/>
    <mergeCell ref="F5:G5"/>
    <mergeCell ref="H5:I5"/>
    <mergeCell ref="K5:L5"/>
  </mergeCells>
  <printOptions horizontalCentered="1"/>
  <pageMargins left="0.15763888888888888" right="0.15763888888888888" top="0" bottom="0" header="0.5118055555555555" footer="0.5118055555555555"/>
  <pageSetup firstPageNumber="1" useFirstPageNumber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CK46"/>
  <sheetViews>
    <sheetView view="pageBreakPreview" zoomScale="84" zoomScaleSheetLayoutView="84" zoomScalePageLayoutView="0" workbookViewId="0" topLeftCell="A1">
      <pane xSplit="3" ySplit="10" topLeftCell="H39" activePane="bottomRight" state="frozen"/>
      <selection pane="topLeft" activeCell="A1" sqref="A1"/>
      <selection pane="topRight" activeCell="H1" sqref="H1"/>
      <selection pane="bottomLeft" activeCell="A40" sqref="A40"/>
      <selection pane="bottomRight" activeCell="A46" sqref="A46:F46"/>
    </sheetView>
  </sheetViews>
  <sheetFormatPr defaultColWidth="11.57421875" defaultRowHeight="12.75"/>
  <cols>
    <col min="1" max="1" width="6.421875" style="2" customWidth="1"/>
    <col min="2" max="2" width="74.140625" style="2" customWidth="1"/>
    <col min="3" max="7" width="0" style="2" hidden="1" customWidth="1"/>
    <col min="8" max="10" width="11.421875" style="2" hidden="1" customWidth="1"/>
    <col min="11" max="11" width="18.421875" style="2" customWidth="1"/>
    <col min="12" max="12" width="19.140625" style="2" customWidth="1"/>
    <col min="13" max="16384" width="11.57421875" style="2" customWidth="1"/>
  </cols>
  <sheetData>
    <row r="1" spans="1:12" ht="16.5">
      <c r="A1" s="10"/>
      <c r="B1" s="4"/>
      <c r="C1" s="4"/>
      <c r="J1" s="5"/>
      <c r="K1" s="5" t="s">
        <v>110</v>
      </c>
      <c r="L1" s="5"/>
    </row>
    <row r="2" spans="1:12" ht="15" customHeight="1">
      <c r="A2" s="94"/>
      <c r="B2" s="7"/>
      <c r="C2" s="7"/>
      <c r="D2" s="7"/>
      <c r="E2" s="7"/>
      <c r="F2" s="7"/>
      <c r="G2" s="7"/>
      <c r="H2" s="7"/>
      <c r="I2" s="8"/>
      <c r="J2" s="8"/>
      <c r="K2" s="8"/>
      <c r="L2" s="8"/>
    </row>
    <row r="3" spans="1:12" ht="18" customHeight="1">
      <c r="A3" s="51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</row>
    <row r="4" spans="1:12" ht="18" customHeight="1">
      <c r="A4" s="51"/>
      <c r="B4" s="10"/>
      <c r="C4" s="10"/>
      <c r="D4" s="10"/>
      <c r="E4" s="10"/>
      <c r="F4" s="10"/>
      <c r="G4" s="10"/>
      <c r="H4" s="10"/>
      <c r="I4" s="52"/>
      <c r="J4" s="52"/>
      <c r="K4" s="52"/>
      <c r="L4" s="52"/>
    </row>
    <row r="5" spans="1:12" ht="20.25" customHeight="1">
      <c r="A5" s="302" t="s">
        <v>263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</row>
    <row r="6" spans="1:12" ht="18.75" customHeight="1">
      <c r="A6" s="302" t="str">
        <f>Додаток1!A6</f>
        <v>КП "Лисичанськтепломережа"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</row>
    <row r="7" spans="1:12" ht="15.75">
      <c r="A7" s="53"/>
      <c r="B7" s="311"/>
      <c r="C7" s="311"/>
      <c r="D7" s="311"/>
      <c r="E7" s="311"/>
      <c r="F7" s="311"/>
      <c r="G7" s="311"/>
      <c r="H7" s="311"/>
      <c r="I7" s="311"/>
      <c r="J7" s="95"/>
      <c r="K7" s="95"/>
      <c r="L7" s="95"/>
    </row>
    <row r="8" spans="1:89" ht="54" customHeight="1">
      <c r="A8" s="299" t="s">
        <v>2</v>
      </c>
      <c r="B8" s="299" t="s">
        <v>3</v>
      </c>
      <c r="C8" s="55" t="s">
        <v>71</v>
      </c>
      <c r="D8" s="299" t="s">
        <v>4</v>
      </c>
      <c r="E8" s="299"/>
      <c r="F8" s="299" t="s">
        <v>111</v>
      </c>
      <c r="G8" s="299"/>
      <c r="H8" s="299" t="s">
        <v>5</v>
      </c>
      <c r="I8" s="299"/>
      <c r="J8" s="299"/>
      <c r="K8" s="299"/>
      <c r="L8" s="29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89" ht="36.75" customHeight="1">
      <c r="A9" s="299"/>
      <c r="B9" s="299"/>
      <c r="C9" s="55"/>
      <c r="D9" s="17" t="s">
        <v>6</v>
      </c>
      <c r="E9" s="17" t="s">
        <v>7</v>
      </c>
      <c r="F9" s="17" t="s">
        <v>6</v>
      </c>
      <c r="G9" s="17" t="s">
        <v>7</v>
      </c>
      <c r="H9" s="17" t="s">
        <v>6</v>
      </c>
      <c r="I9" s="17" t="s">
        <v>7</v>
      </c>
      <c r="J9" s="17" t="s">
        <v>6</v>
      </c>
      <c r="K9" s="17" t="s">
        <v>6</v>
      </c>
      <c r="L9" s="17" t="s">
        <v>7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</row>
    <row r="10" spans="1:89" ht="15.75" customHeight="1">
      <c r="A10" s="20">
        <v>1</v>
      </c>
      <c r="B10" s="20">
        <v>2</v>
      </c>
      <c r="C10" s="60">
        <v>3</v>
      </c>
      <c r="D10" s="60">
        <v>3</v>
      </c>
      <c r="E10" s="60">
        <v>4</v>
      </c>
      <c r="F10" s="60">
        <v>5</v>
      </c>
      <c r="G10" s="60">
        <v>6</v>
      </c>
      <c r="H10" s="60">
        <v>3</v>
      </c>
      <c r="I10" s="60">
        <v>4</v>
      </c>
      <c r="J10" s="60">
        <v>5</v>
      </c>
      <c r="K10" s="60">
        <v>6</v>
      </c>
      <c r="L10" s="60">
        <v>7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</row>
    <row r="11" spans="1:15" s="27" customFormat="1" ht="16.5" customHeight="1">
      <c r="A11" s="96">
        <v>1</v>
      </c>
      <c r="B11" s="23" t="s">
        <v>8</v>
      </c>
      <c r="C11" s="62" t="s">
        <v>84</v>
      </c>
      <c r="D11" s="63" t="e">
        <f>F11+H11+#REF!</f>
        <v>#REF!</v>
      </c>
      <c r="E11" s="66" t="e">
        <f aca="true" t="shared" si="0" ref="E11:E33">D11/$D$44*1000</f>
        <v>#REF!</v>
      </c>
      <c r="F11" s="66">
        <f>F12+F19+F20+F23</f>
        <v>40096.63156526818</v>
      </c>
      <c r="G11" s="66">
        <f aca="true" t="shared" si="1" ref="G11:G33">F11/$F$44*1000</f>
        <v>265.6660852348817</v>
      </c>
      <c r="H11" s="66">
        <f>H12+H19+H20+H23</f>
        <v>159399.65</v>
      </c>
      <c r="I11" s="66">
        <f aca="true" t="shared" si="2" ref="I11:I33">H11/$H$44*1000</f>
        <v>1056.1256482200731</v>
      </c>
      <c r="J11" s="66"/>
      <c r="K11" s="66">
        <f>K12+K19+K20+K23</f>
        <v>159439.19545</v>
      </c>
      <c r="L11" s="66">
        <f aca="true" t="shared" si="3" ref="L11:L42">K11/$H$44*1000</f>
        <v>1056.387662371393</v>
      </c>
      <c r="M11" s="68"/>
      <c r="N11" s="68"/>
      <c r="O11" s="68"/>
    </row>
    <row r="12" spans="1:14" s="27" customFormat="1" ht="16.5" customHeight="1">
      <c r="A12" s="96" t="s">
        <v>9</v>
      </c>
      <c r="B12" s="23" t="s">
        <v>10</v>
      </c>
      <c r="C12" s="62" t="s">
        <v>84</v>
      </c>
      <c r="D12" s="63" t="e">
        <f>F12+H12+#REF!</f>
        <v>#REF!</v>
      </c>
      <c r="E12" s="66" t="e">
        <f t="shared" si="0"/>
        <v>#REF!</v>
      </c>
      <c r="F12" s="66">
        <f>SUM(F13:F18)</f>
        <v>32948.63054522098</v>
      </c>
      <c r="G12" s="66">
        <f t="shared" si="1"/>
        <v>218.30596110176663</v>
      </c>
      <c r="H12" s="66">
        <f>SUM(H13:H18)</f>
        <v>148004.28999999998</v>
      </c>
      <c r="I12" s="66">
        <f t="shared" si="2"/>
        <v>980.6240271895308</v>
      </c>
      <c r="J12" s="66"/>
      <c r="K12" s="66">
        <f>SUM(K13:K18)</f>
        <v>148043.83544999998</v>
      </c>
      <c r="L12" s="66">
        <f t="shared" si="3"/>
        <v>980.8860413408504</v>
      </c>
      <c r="N12" s="68"/>
    </row>
    <row r="13" spans="1:89" s="34" customFormat="1" ht="16.5" customHeight="1">
      <c r="A13" s="97" t="s">
        <v>11</v>
      </c>
      <c r="B13" s="29" t="s">
        <v>12</v>
      </c>
      <c r="C13" s="69" t="s">
        <v>84</v>
      </c>
      <c r="D13" s="70" t="e">
        <f>F13+H13+#REF!</f>
        <v>#REF!</v>
      </c>
      <c r="E13" s="73" t="e">
        <f t="shared" si="0"/>
        <v>#REF!</v>
      </c>
      <c r="F13" s="75">
        <f>'Додаток2 скор'!H10</f>
        <v>26176.1</v>
      </c>
      <c r="G13" s="73">
        <f t="shared" si="1"/>
        <v>173.43357140604422</v>
      </c>
      <c r="H13" s="75">
        <v>136112.13</v>
      </c>
      <c r="I13" s="75">
        <f t="shared" si="2"/>
        <v>901.8307852424073</v>
      </c>
      <c r="J13" s="75">
        <v>136151.67545</v>
      </c>
      <c r="K13" s="75">
        <f>J13</f>
        <v>136151.67545</v>
      </c>
      <c r="L13" s="73">
        <f t="shared" si="3"/>
        <v>902.092799393727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</row>
    <row r="14" spans="1:89" s="34" customFormat="1" ht="16.5" customHeight="1">
      <c r="A14" s="97" t="s">
        <v>13</v>
      </c>
      <c r="B14" s="29" t="s">
        <v>14</v>
      </c>
      <c r="C14" s="69" t="s">
        <v>84</v>
      </c>
      <c r="D14" s="70" t="e">
        <f>F14+H14+#REF!</f>
        <v>#REF!</v>
      </c>
      <c r="E14" s="73" t="e">
        <f t="shared" si="0"/>
        <v>#REF!</v>
      </c>
      <c r="F14" s="75">
        <f>'Додаток2 скор'!H13</f>
        <v>6076.556793252597</v>
      </c>
      <c r="G14" s="73">
        <f t="shared" si="1"/>
        <v>40.26111401260911</v>
      </c>
      <c r="H14" s="75">
        <v>11196.18</v>
      </c>
      <c r="I14" s="75">
        <f t="shared" si="2"/>
        <v>74.18192486676489</v>
      </c>
      <c r="J14" s="75"/>
      <c r="K14" s="75">
        <f aca="true" t="shared" si="4" ref="K14:K33">H14</f>
        <v>11196.18</v>
      </c>
      <c r="L14" s="73">
        <f t="shared" si="3"/>
        <v>74.18192486676489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</row>
    <row r="15" spans="1:89" s="34" customFormat="1" ht="15.75" customHeight="1">
      <c r="A15" s="97" t="s">
        <v>15</v>
      </c>
      <c r="B15" s="29" t="str">
        <f>Додаток1!B15</f>
        <v>собівартість теплової енергії власних ТЕЦ, ТЕС, КГУ</v>
      </c>
      <c r="C15" s="69" t="s">
        <v>84</v>
      </c>
      <c r="D15" s="70" t="e">
        <f>F15+H15+#REF!</f>
        <v>#REF!</v>
      </c>
      <c r="E15" s="73" t="e">
        <f t="shared" si="0"/>
        <v>#REF!</v>
      </c>
      <c r="F15" s="75">
        <f>'Додаток2 скор'!K14</f>
        <v>0</v>
      </c>
      <c r="G15" s="73">
        <f t="shared" si="1"/>
        <v>0</v>
      </c>
      <c r="H15" s="75">
        <f>'Додаток2 скор'!P14</f>
        <v>0</v>
      </c>
      <c r="I15" s="75">
        <f t="shared" si="2"/>
        <v>0</v>
      </c>
      <c r="J15" s="75"/>
      <c r="K15" s="75">
        <f t="shared" si="4"/>
        <v>0</v>
      </c>
      <c r="L15" s="66">
        <f t="shared" si="3"/>
        <v>0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</row>
    <row r="16" spans="1:89" s="84" customFormat="1" ht="15.75">
      <c r="A16" s="97" t="s">
        <v>17</v>
      </c>
      <c r="B16" s="29" t="str">
        <f>Додаток1!B16</f>
        <v>витрати на покупну теплову енергію</v>
      </c>
      <c r="C16" s="69"/>
      <c r="D16" s="70" t="e">
        <f>F16+H16+#REF!</f>
        <v>#REF!</v>
      </c>
      <c r="E16" s="73" t="e">
        <f t="shared" si="0"/>
        <v>#REF!</v>
      </c>
      <c r="F16" s="75">
        <f>'Додаток2 скор'!H17</f>
        <v>0</v>
      </c>
      <c r="G16" s="73">
        <f t="shared" si="1"/>
        <v>0</v>
      </c>
      <c r="H16" s="75">
        <f>'Додаток2 скор'!P17</f>
        <v>0</v>
      </c>
      <c r="I16" s="75">
        <f t="shared" si="2"/>
        <v>0</v>
      </c>
      <c r="J16" s="75"/>
      <c r="K16" s="75">
        <f t="shared" si="4"/>
        <v>0</v>
      </c>
      <c r="L16" s="66">
        <f t="shared" si="3"/>
        <v>0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</row>
    <row r="17" spans="1:89" s="34" customFormat="1" ht="15.75" customHeight="1">
      <c r="A17" s="97" t="s">
        <v>19</v>
      </c>
      <c r="B17" s="29" t="s">
        <v>112</v>
      </c>
      <c r="C17" s="69" t="s">
        <v>84</v>
      </c>
      <c r="D17" s="70" t="e">
        <f>F17+H17+#REF!</f>
        <v>#REF!</v>
      </c>
      <c r="E17" s="73" t="e">
        <f t="shared" si="0"/>
        <v>#REF!</v>
      </c>
      <c r="F17" s="75">
        <f>'Додаток2 скор'!H20</f>
        <v>573.4254021087162</v>
      </c>
      <c r="G17" s="73">
        <f t="shared" si="1"/>
        <v>3.7993137030597244</v>
      </c>
      <c r="H17" s="75">
        <v>573.43</v>
      </c>
      <c r="I17" s="75">
        <f t="shared" si="2"/>
        <v>3.799344167059567</v>
      </c>
      <c r="J17" s="75"/>
      <c r="K17" s="75">
        <f t="shared" si="4"/>
        <v>573.43</v>
      </c>
      <c r="L17" s="66">
        <f t="shared" si="3"/>
        <v>3.799344167059567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</row>
    <row r="18" spans="1:89" s="34" customFormat="1" ht="15.75" customHeight="1">
      <c r="A18" s="97" t="s">
        <v>21</v>
      </c>
      <c r="B18" s="29" t="s">
        <v>113</v>
      </c>
      <c r="C18" s="69" t="s">
        <v>84</v>
      </c>
      <c r="D18" s="70" t="e">
        <f>F18+H18+#REF!</f>
        <v>#REF!</v>
      </c>
      <c r="E18" s="73" t="e">
        <f t="shared" si="0"/>
        <v>#REF!</v>
      </c>
      <c r="F18" s="75">
        <f>'Додаток2 скор'!H21</f>
        <v>122.54834985966664</v>
      </c>
      <c r="G18" s="73">
        <f t="shared" si="1"/>
        <v>0.8119619800535368</v>
      </c>
      <c r="H18" s="75">
        <v>122.55</v>
      </c>
      <c r="I18" s="75">
        <f t="shared" si="2"/>
        <v>0.8119729132991822</v>
      </c>
      <c r="J18" s="75"/>
      <c r="K18" s="75">
        <f t="shared" si="4"/>
        <v>122.55</v>
      </c>
      <c r="L18" s="66">
        <f t="shared" si="3"/>
        <v>0.8119729132991822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</row>
    <row r="19" spans="1:12" s="27" customFormat="1" ht="16.5" customHeight="1">
      <c r="A19" s="96" t="s">
        <v>25</v>
      </c>
      <c r="B19" s="23" t="s">
        <v>114</v>
      </c>
      <c r="C19" s="62" t="s">
        <v>84</v>
      </c>
      <c r="D19" s="63" t="e">
        <f>F19+H19+#REF!</f>
        <v>#REF!</v>
      </c>
      <c r="E19" s="66" t="e">
        <f t="shared" si="0"/>
        <v>#REF!</v>
      </c>
      <c r="F19" s="66">
        <f>'Додаток2 скор'!H22</f>
        <v>5570.955183352722</v>
      </c>
      <c r="G19" s="66">
        <f t="shared" si="1"/>
        <v>36.91117674488853</v>
      </c>
      <c r="H19" s="66">
        <v>9554.54</v>
      </c>
      <c r="I19" s="66">
        <v>63.31</v>
      </c>
      <c r="J19" s="66"/>
      <c r="K19" s="98">
        <f t="shared" si="4"/>
        <v>9554.54</v>
      </c>
      <c r="L19" s="66">
        <v>63.31</v>
      </c>
    </row>
    <row r="20" spans="1:12" s="27" customFormat="1" ht="16.5" customHeight="1">
      <c r="A20" s="96" t="s">
        <v>27</v>
      </c>
      <c r="B20" s="23" t="s">
        <v>28</v>
      </c>
      <c r="C20" s="62"/>
      <c r="D20" s="63" t="e">
        <f>F20+H20+#REF!</f>
        <v>#REF!</v>
      </c>
      <c r="E20" s="66" t="e">
        <f t="shared" si="0"/>
        <v>#REF!</v>
      </c>
      <c r="F20" s="66">
        <f>SUM(F21:F22)</f>
        <v>1135.2602958009063</v>
      </c>
      <c r="G20" s="66">
        <f t="shared" si="1"/>
        <v>7.521832800769916</v>
      </c>
      <c r="H20" s="66">
        <f>SUM(H21:H22)</f>
        <v>1135.26</v>
      </c>
      <c r="I20" s="66">
        <f t="shared" si="2"/>
        <v>7.521830840897834</v>
      </c>
      <c r="J20" s="66"/>
      <c r="K20" s="98">
        <f t="shared" si="4"/>
        <v>1135.26</v>
      </c>
      <c r="L20" s="66">
        <f t="shared" si="3"/>
        <v>7.521830840897834</v>
      </c>
    </row>
    <row r="21" spans="1:89" s="34" customFormat="1" ht="16.5" customHeight="1">
      <c r="A21" s="97" t="s">
        <v>31</v>
      </c>
      <c r="B21" s="29" t="s">
        <v>30</v>
      </c>
      <c r="C21" s="69" t="s">
        <v>84</v>
      </c>
      <c r="D21" s="70" t="e">
        <f>F21+H21+#REF!</f>
        <v>#REF!</v>
      </c>
      <c r="E21" s="73" t="e">
        <f t="shared" si="0"/>
        <v>#REF!</v>
      </c>
      <c r="F21" s="70">
        <f>'Додаток2 скор'!H25</f>
        <v>401.45220943236814</v>
      </c>
      <c r="G21" s="73">
        <f t="shared" si="1"/>
        <v>2.6598802125107577</v>
      </c>
      <c r="H21" s="70">
        <v>401.45</v>
      </c>
      <c r="I21" s="75">
        <f t="shared" si="2"/>
        <v>2.6598655735940975</v>
      </c>
      <c r="J21" s="75"/>
      <c r="K21" s="75">
        <f t="shared" si="4"/>
        <v>401.45</v>
      </c>
      <c r="L21" s="66">
        <f t="shared" si="3"/>
        <v>2.6598655735940975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</row>
    <row r="22" spans="1:89" s="34" customFormat="1" ht="16.5" customHeight="1">
      <c r="A22" s="97" t="s">
        <v>98</v>
      </c>
      <c r="B22" s="29" t="s">
        <v>32</v>
      </c>
      <c r="C22" s="69" t="s">
        <v>84</v>
      </c>
      <c r="D22" s="70" t="e">
        <f>F22+H22+#REF!</f>
        <v>#REF!</v>
      </c>
      <c r="E22" s="73" t="e">
        <f t="shared" si="0"/>
        <v>#REF!</v>
      </c>
      <c r="F22" s="70">
        <f>'Додаток2 скор'!H26</f>
        <v>733.8080863685382</v>
      </c>
      <c r="G22" s="73">
        <f t="shared" si="1"/>
        <v>4.861952588259157</v>
      </c>
      <c r="H22" s="70">
        <v>733.81</v>
      </c>
      <c r="I22" s="75">
        <f t="shared" si="2"/>
        <v>4.861965267303736</v>
      </c>
      <c r="J22" s="75"/>
      <c r="K22" s="75">
        <f t="shared" si="4"/>
        <v>733.81</v>
      </c>
      <c r="L22" s="66">
        <f t="shared" si="3"/>
        <v>4.861965267303736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</row>
    <row r="23" spans="1:12" s="27" customFormat="1" ht="18" customHeight="1">
      <c r="A23" s="96" t="s">
        <v>33</v>
      </c>
      <c r="B23" s="23" t="s">
        <v>34</v>
      </c>
      <c r="C23" s="62" t="s">
        <v>84</v>
      </c>
      <c r="D23" s="63" t="e">
        <f>F23+H23+#REF!</f>
        <v>#REF!</v>
      </c>
      <c r="E23" s="66" t="e">
        <f t="shared" si="0"/>
        <v>#REF!</v>
      </c>
      <c r="F23" s="66">
        <f>SUM(F24:F25)</f>
        <v>441.7855408935702</v>
      </c>
      <c r="G23" s="66">
        <f t="shared" si="1"/>
        <v>2.927114587456607</v>
      </c>
      <c r="H23" s="66">
        <f>SUM(H24:H25)</f>
        <v>705.56</v>
      </c>
      <c r="I23" s="66">
        <f t="shared" si="2"/>
        <v>4.674790768725996</v>
      </c>
      <c r="J23" s="66"/>
      <c r="K23" s="98">
        <f t="shared" si="4"/>
        <v>705.56</v>
      </c>
      <c r="L23" s="66">
        <f t="shared" si="3"/>
        <v>4.674790768725996</v>
      </c>
    </row>
    <row r="24" spans="1:89" s="34" customFormat="1" ht="16.5" customHeight="1">
      <c r="A24" s="97" t="s">
        <v>35</v>
      </c>
      <c r="B24" s="29" t="s">
        <v>36</v>
      </c>
      <c r="C24" s="69" t="s">
        <v>84</v>
      </c>
      <c r="D24" s="70" t="e">
        <f>F24+H24+#REF!</f>
        <v>#REF!</v>
      </c>
      <c r="E24" s="73" t="e">
        <f t="shared" si="0"/>
        <v>#REF!</v>
      </c>
      <c r="F24" s="75">
        <f>'Додаток2 скор'!H28</f>
        <v>368.87697240972125</v>
      </c>
      <c r="G24" s="73">
        <f t="shared" si="1"/>
        <v>2.44404822469607</v>
      </c>
      <c r="H24" s="75">
        <v>632.65</v>
      </c>
      <c r="I24" s="75">
        <f t="shared" si="2"/>
        <v>4.191714921246247</v>
      </c>
      <c r="J24" s="75"/>
      <c r="K24" s="75">
        <f t="shared" si="4"/>
        <v>632.65</v>
      </c>
      <c r="L24" s="66">
        <f t="shared" si="3"/>
        <v>4.191714921246247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</row>
    <row r="25" spans="1:89" s="34" customFormat="1" ht="16.5" customHeight="1">
      <c r="A25" s="97" t="s">
        <v>115</v>
      </c>
      <c r="B25" s="29" t="s">
        <v>38</v>
      </c>
      <c r="C25" s="69" t="s">
        <v>84</v>
      </c>
      <c r="D25" s="70" t="e">
        <f>F25+H25+#REF!</f>
        <v>#REF!</v>
      </c>
      <c r="E25" s="73" t="e">
        <f t="shared" si="0"/>
        <v>#REF!</v>
      </c>
      <c r="F25" s="75">
        <f>'Додаток2 скор'!H30</f>
        <v>72.90856848384898</v>
      </c>
      <c r="G25" s="73">
        <f t="shared" si="1"/>
        <v>0.4830663627605369</v>
      </c>
      <c r="H25" s="75">
        <v>72.91</v>
      </c>
      <c r="I25" s="75">
        <f t="shared" si="2"/>
        <v>0.48307584747975</v>
      </c>
      <c r="J25" s="75"/>
      <c r="K25" s="75">
        <f t="shared" si="4"/>
        <v>72.91</v>
      </c>
      <c r="L25" s="66">
        <f t="shared" si="3"/>
        <v>0.48307584747975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</row>
    <row r="26" spans="1:12" s="27" customFormat="1" ht="16.5" customHeight="1">
      <c r="A26" s="96" t="s">
        <v>39</v>
      </c>
      <c r="B26" s="23" t="s">
        <v>40</v>
      </c>
      <c r="C26" s="62" t="s">
        <v>84</v>
      </c>
      <c r="D26" s="63" t="e">
        <f>F26+H26+#REF!</f>
        <v>#REF!</v>
      </c>
      <c r="E26" s="66" t="e">
        <f t="shared" si="0"/>
        <v>#REF!</v>
      </c>
      <c r="F26" s="66">
        <f>SUM(F27:F28)</f>
        <v>1489.684666024075</v>
      </c>
      <c r="G26" s="66">
        <f t="shared" si="1"/>
        <v>9.87012320007089</v>
      </c>
      <c r="H26" s="66">
        <f>SUM(H27:H28)</f>
        <v>2436.17</v>
      </c>
      <c r="I26" s="66">
        <f t="shared" si="2"/>
        <v>16.141199936287787</v>
      </c>
      <c r="J26" s="66"/>
      <c r="K26" s="98">
        <f t="shared" si="4"/>
        <v>2436.17</v>
      </c>
      <c r="L26" s="66">
        <f t="shared" si="3"/>
        <v>16.141199936287787</v>
      </c>
    </row>
    <row r="27" spans="1:89" s="34" customFormat="1" ht="16.5" customHeight="1">
      <c r="A27" s="97" t="s">
        <v>41</v>
      </c>
      <c r="B27" s="29" t="s">
        <v>36</v>
      </c>
      <c r="C27" s="69" t="s">
        <v>84</v>
      </c>
      <c r="D27" s="70" t="e">
        <f>F27+H27+#REF!</f>
        <v>#REF!</v>
      </c>
      <c r="E27" s="73" t="e">
        <f t="shared" si="0"/>
        <v>#REF!</v>
      </c>
      <c r="F27" s="75">
        <f>'Додаток2 скор'!H32</f>
        <v>1323.6373025461742</v>
      </c>
      <c r="G27" s="73">
        <f t="shared" si="1"/>
        <v>8.76995215585384</v>
      </c>
      <c r="H27" s="75">
        <v>2270.12</v>
      </c>
      <c r="I27" s="75">
        <f t="shared" si="2"/>
        <v>15.041011423408724</v>
      </c>
      <c r="J27" s="75"/>
      <c r="K27" s="75">
        <f t="shared" si="4"/>
        <v>2270.12</v>
      </c>
      <c r="L27" s="66">
        <f t="shared" si="3"/>
        <v>15.041011423408724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</row>
    <row r="28" spans="1:89" s="34" customFormat="1" ht="16.5" customHeight="1">
      <c r="A28" s="97" t="s">
        <v>42</v>
      </c>
      <c r="B28" s="29" t="s">
        <v>38</v>
      </c>
      <c r="C28" s="69" t="s">
        <v>84</v>
      </c>
      <c r="D28" s="70" t="e">
        <f>F28+H28+#REF!</f>
        <v>#REF!</v>
      </c>
      <c r="E28" s="73" t="e">
        <f t="shared" si="0"/>
        <v>#REF!</v>
      </c>
      <c r="F28" s="75">
        <f>'Додаток2 скор'!H34</f>
        <v>166.04736347790086</v>
      </c>
      <c r="G28" s="73">
        <f t="shared" si="1"/>
        <v>1.1001710442170491</v>
      </c>
      <c r="H28" s="75">
        <v>166.05</v>
      </c>
      <c r="I28" s="75">
        <f t="shared" si="2"/>
        <v>1.1001885128790632</v>
      </c>
      <c r="J28" s="75"/>
      <c r="K28" s="75">
        <f t="shared" si="4"/>
        <v>166.05</v>
      </c>
      <c r="L28" s="66">
        <f t="shared" si="3"/>
        <v>1.1001885128790632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</row>
    <row r="29" spans="1:89" ht="16.5" customHeight="1" hidden="1">
      <c r="A29" s="97" t="s">
        <v>43</v>
      </c>
      <c r="B29" s="29" t="s">
        <v>44</v>
      </c>
      <c r="C29" s="69" t="s">
        <v>84</v>
      </c>
      <c r="D29" s="63" t="e">
        <f>F29+H29+#REF!</f>
        <v>#REF!</v>
      </c>
      <c r="E29" s="73" t="e">
        <f t="shared" si="0"/>
        <v>#REF!</v>
      </c>
      <c r="F29" s="75">
        <v>0</v>
      </c>
      <c r="G29" s="73">
        <f t="shared" si="1"/>
        <v>0</v>
      </c>
      <c r="H29" s="75">
        <f>'Додаток2 скор'!P36</f>
        <v>0</v>
      </c>
      <c r="I29" s="75">
        <f t="shared" si="2"/>
        <v>0</v>
      </c>
      <c r="J29" s="75"/>
      <c r="K29" s="75">
        <f t="shared" si="4"/>
        <v>0</v>
      </c>
      <c r="L29" s="66">
        <f t="shared" si="3"/>
        <v>0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</row>
    <row r="30" spans="1:89" ht="16.5" customHeight="1" hidden="1">
      <c r="A30" s="97" t="s">
        <v>45</v>
      </c>
      <c r="B30" s="29" t="s">
        <v>46</v>
      </c>
      <c r="C30" s="69" t="s">
        <v>84</v>
      </c>
      <c r="D30" s="63" t="e">
        <f>F30+H30+#REF!</f>
        <v>#REF!</v>
      </c>
      <c r="E30" s="73" t="e">
        <f t="shared" si="0"/>
        <v>#REF!</v>
      </c>
      <c r="F30" s="75">
        <v>0</v>
      </c>
      <c r="G30" s="73">
        <f t="shared" si="1"/>
        <v>0</v>
      </c>
      <c r="H30" s="75">
        <f>'Додаток2 скор'!P37</f>
        <v>0</v>
      </c>
      <c r="I30" s="75">
        <f t="shared" si="2"/>
        <v>0</v>
      </c>
      <c r="J30" s="75"/>
      <c r="K30" s="75">
        <f t="shared" si="4"/>
        <v>0</v>
      </c>
      <c r="L30" s="66">
        <f t="shared" si="3"/>
        <v>0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</row>
    <row r="31" spans="1:89" ht="16.5" customHeight="1" hidden="1">
      <c r="A31" s="97" t="s">
        <v>47</v>
      </c>
      <c r="B31" s="29" t="s">
        <v>38</v>
      </c>
      <c r="C31" s="69" t="s">
        <v>84</v>
      </c>
      <c r="D31" s="63" t="e">
        <f>F31+H31+#REF!</f>
        <v>#REF!</v>
      </c>
      <c r="E31" s="73" t="e">
        <f t="shared" si="0"/>
        <v>#REF!</v>
      </c>
      <c r="F31" s="75">
        <v>0</v>
      </c>
      <c r="G31" s="73">
        <f t="shared" si="1"/>
        <v>0</v>
      </c>
      <c r="H31" s="75">
        <f>'Додаток2 скор'!P38</f>
        <v>0</v>
      </c>
      <c r="I31" s="75">
        <f t="shared" si="2"/>
        <v>0</v>
      </c>
      <c r="J31" s="75"/>
      <c r="K31" s="75">
        <f t="shared" si="4"/>
        <v>0</v>
      </c>
      <c r="L31" s="66">
        <f t="shared" si="3"/>
        <v>0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</row>
    <row r="32" spans="1:12" s="27" customFormat="1" ht="16.5" customHeight="1">
      <c r="A32" s="96">
        <v>3</v>
      </c>
      <c r="B32" s="23" t="s">
        <v>50</v>
      </c>
      <c r="C32" s="62" t="s">
        <v>84</v>
      </c>
      <c r="D32" s="63" t="e">
        <f>F32+H32+#REF!</f>
        <v>#REF!</v>
      </c>
      <c r="E32" s="66" t="e">
        <f t="shared" si="0"/>
        <v>#REF!</v>
      </c>
      <c r="F32" s="66">
        <f>'Додаток2 скор'!H39</f>
        <v>0</v>
      </c>
      <c r="G32" s="66">
        <f t="shared" si="1"/>
        <v>0</v>
      </c>
      <c r="H32" s="66">
        <f>'Додаток2 скор'!P39</f>
        <v>0</v>
      </c>
      <c r="I32" s="66">
        <f t="shared" si="2"/>
        <v>0</v>
      </c>
      <c r="J32" s="66"/>
      <c r="K32" s="98">
        <f t="shared" si="4"/>
        <v>0</v>
      </c>
      <c r="L32" s="66">
        <f t="shared" si="3"/>
        <v>0</v>
      </c>
    </row>
    <row r="33" spans="1:12" s="27" customFormat="1" ht="16.5" customHeight="1">
      <c r="A33" s="96">
        <v>4</v>
      </c>
      <c r="B33" s="23" t="s">
        <v>51</v>
      </c>
      <c r="C33" s="62" t="s">
        <v>84</v>
      </c>
      <c r="D33" s="63" t="e">
        <f>F33+H33+#REF!</f>
        <v>#REF!</v>
      </c>
      <c r="E33" s="66" t="e">
        <f t="shared" si="0"/>
        <v>#REF!</v>
      </c>
      <c r="F33" s="66">
        <f>'Додаток2 скор'!H40</f>
        <v>0</v>
      </c>
      <c r="G33" s="66">
        <f t="shared" si="1"/>
        <v>0</v>
      </c>
      <c r="H33" s="66">
        <f>'Додаток2 скор'!P40</f>
        <v>0</v>
      </c>
      <c r="I33" s="66">
        <f t="shared" si="2"/>
        <v>0</v>
      </c>
      <c r="J33" s="66"/>
      <c r="K33" s="98">
        <f t="shared" si="4"/>
        <v>0</v>
      </c>
      <c r="L33" s="66">
        <f t="shared" si="3"/>
        <v>0</v>
      </c>
    </row>
    <row r="34" spans="1:12" s="27" customFormat="1" ht="16.5" customHeight="1">
      <c r="A34" s="96">
        <v>5</v>
      </c>
      <c r="B34" s="23" t="s">
        <v>52</v>
      </c>
      <c r="C34" s="62" t="s">
        <v>84</v>
      </c>
      <c r="D34" s="63" t="e">
        <f>F34+H34+#REF!</f>
        <v>#REF!</v>
      </c>
      <c r="E34" s="66" t="e">
        <f>ROUND(D34/$D$44*1000,2)</f>
        <v>#REF!</v>
      </c>
      <c r="F34" s="66">
        <f>F26+F11</f>
        <v>41586.31623129226</v>
      </c>
      <c r="G34" s="66">
        <f>ROUND(F34/$F$44*1000,2)</f>
        <v>275.54</v>
      </c>
      <c r="H34" s="66">
        <f>H26+H11</f>
        <v>161835.82</v>
      </c>
      <c r="I34" s="66">
        <f>ROUND(H34/$H$44*1000,2)</f>
        <v>1072.27</v>
      </c>
      <c r="J34" s="66"/>
      <c r="K34" s="98">
        <f>K11+K26+K32+K33</f>
        <v>161875.36545</v>
      </c>
      <c r="L34" s="66">
        <f t="shared" si="3"/>
        <v>1072.5288623076808</v>
      </c>
    </row>
    <row r="35" spans="1:12" s="27" customFormat="1" ht="16.5" customHeight="1">
      <c r="A35" s="96">
        <v>6</v>
      </c>
      <c r="B35" s="23" t="s">
        <v>53</v>
      </c>
      <c r="C35" s="62"/>
      <c r="D35" s="63"/>
      <c r="E35" s="66"/>
      <c r="F35" s="66"/>
      <c r="G35" s="66"/>
      <c r="H35" s="66">
        <v>0</v>
      </c>
      <c r="I35" s="66">
        <v>0</v>
      </c>
      <c r="J35" s="66"/>
      <c r="K35" s="98">
        <v>0</v>
      </c>
      <c r="L35" s="66">
        <f t="shared" si="3"/>
        <v>0</v>
      </c>
    </row>
    <row r="36" spans="1:12" s="27" customFormat="1" ht="18.75" customHeight="1">
      <c r="A36" s="96">
        <v>7</v>
      </c>
      <c r="B36" s="38" t="s">
        <v>54</v>
      </c>
      <c r="C36" s="62" t="s">
        <v>84</v>
      </c>
      <c r="D36" s="63" t="e">
        <f>F36+H36+#REF!</f>
        <v>#REF!</v>
      </c>
      <c r="E36" s="99" t="e">
        <f aca="true" t="shared" si="5" ref="E36:E41">ROUND(D36/$D$44*1000,2)</f>
        <v>#REF!</v>
      </c>
      <c r="F36" s="99">
        <f>SUM(F37:F41)</f>
        <v>0</v>
      </c>
      <c r="G36" s="99">
        <f aca="true" t="shared" si="6" ref="G36:G41">ROUND(F36/$F$44*1000,2)</f>
        <v>0</v>
      </c>
      <c r="H36" s="99">
        <v>0</v>
      </c>
      <c r="I36" s="99">
        <v>0</v>
      </c>
      <c r="J36" s="99"/>
      <c r="K36" s="98">
        <f aca="true" t="shared" si="7" ref="K36:K41">H36</f>
        <v>0</v>
      </c>
      <c r="L36" s="66">
        <f t="shared" si="3"/>
        <v>0</v>
      </c>
    </row>
    <row r="37" spans="1:89" ht="16.5" customHeight="1">
      <c r="A37" s="97" t="s">
        <v>101</v>
      </c>
      <c r="B37" s="29" t="s">
        <v>56</v>
      </c>
      <c r="C37" s="69" t="s">
        <v>84</v>
      </c>
      <c r="D37" s="70" t="e">
        <f>F37+H37+#REF!</f>
        <v>#REF!</v>
      </c>
      <c r="E37" s="73" t="e">
        <f t="shared" si="5"/>
        <v>#REF!</v>
      </c>
      <c r="F37" s="75">
        <f>'Додаток2 скор'!H43</f>
        <v>0</v>
      </c>
      <c r="G37" s="73">
        <f t="shared" si="6"/>
        <v>0</v>
      </c>
      <c r="H37" s="75">
        <f>'Додаток2 скор'!P43</f>
        <v>0</v>
      </c>
      <c r="I37" s="75">
        <f>ROUND(H37/$H$44*1000,2)</f>
        <v>0</v>
      </c>
      <c r="J37" s="75"/>
      <c r="K37" s="75">
        <f t="shared" si="7"/>
        <v>0</v>
      </c>
      <c r="L37" s="66">
        <f t="shared" si="3"/>
        <v>0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</row>
    <row r="38" spans="1:89" ht="16.5" customHeight="1" hidden="1">
      <c r="A38" s="97" t="s">
        <v>57</v>
      </c>
      <c r="B38" s="29" t="s">
        <v>58</v>
      </c>
      <c r="C38" s="69" t="s">
        <v>84</v>
      </c>
      <c r="D38" s="70" t="e">
        <f>F38+H38+#REF!</f>
        <v>#REF!</v>
      </c>
      <c r="E38" s="73" t="e">
        <f t="shared" si="5"/>
        <v>#REF!</v>
      </c>
      <c r="F38" s="75">
        <f>'Додаток2 скор'!H44</f>
        <v>0</v>
      </c>
      <c r="G38" s="73">
        <f t="shared" si="6"/>
        <v>0</v>
      </c>
      <c r="H38" s="75">
        <f>'Додаток2 скор'!P44</f>
        <v>0</v>
      </c>
      <c r="I38" s="75">
        <f>ROUND(H38/$H$44*1000,2)</f>
        <v>0</v>
      </c>
      <c r="J38" s="75"/>
      <c r="K38" s="75">
        <f t="shared" si="7"/>
        <v>0</v>
      </c>
      <c r="L38" s="66">
        <f t="shared" si="3"/>
        <v>0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</row>
    <row r="39" spans="1:89" ht="16.5" customHeight="1">
      <c r="A39" s="97" t="s">
        <v>57</v>
      </c>
      <c r="B39" s="29" t="str">
        <f>'Додаток2 скор'!B45</f>
        <v>резервний фонд (капітал) та дивіденди </v>
      </c>
      <c r="C39" s="69" t="s">
        <v>84</v>
      </c>
      <c r="D39" s="70" t="e">
        <f>F39+H39+#REF!</f>
        <v>#REF!</v>
      </c>
      <c r="E39" s="73" t="e">
        <f t="shared" si="5"/>
        <v>#REF!</v>
      </c>
      <c r="F39" s="75">
        <f>'Додаток2 скор'!H45</f>
        <v>0</v>
      </c>
      <c r="G39" s="73">
        <f t="shared" si="6"/>
        <v>0</v>
      </c>
      <c r="H39" s="75">
        <f>'Додаток2 скор'!P45</f>
        <v>0</v>
      </c>
      <c r="I39" s="75">
        <f>ROUND(H39/$H$44*1000,2)</f>
        <v>0</v>
      </c>
      <c r="J39" s="75"/>
      <c r="K39" s="75">
        <f t="shared" si="7"/>
        <v>0</v>
      </c>
      <c r="L39" s="66">
        <f t="shared" si="3"/>
        <v>0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</row>
    <row r="40" spans="1:89" ht="15.75" customHeight="1">
      <c r="A40" s="97" t="s">
        <v>102</v>
      </c>
      <c r="B40" s="29" t="s">
        <v>61</v>
      </c>
      <c r="C40" s="69" t="s">
        <v>84</v>
      </c>
      <c r="D40" s="70" t="e">
        <f>F40+H40+#REF!</f>
        <v>#REF!</v>
      </c>
      <c r="E40" s="73" t="e">
        <f t="shared" si="5"/>
        <v>#REF!</v>
      </c>
      <c r="F40" s="75">
        <f>'Додаток2 скор'!H46</f>
        <v>0</v>
      </c>
      <c r="G40" s="73">
        <f t="shared" si="6"/>
        <v>0</v>
      </c>
      <c r="H40" s="75">
        <v>0</v>
      </c>
      <c r="I40" s="75">
        <v>0</v>
      </c>
      <c r="J40" s="75"/>
      <c r="K40" s="75">
        <f t="shared" si="7"/>
        <v>0</v>
      </c>
      <c r="L40" s="66">
        <f t="shared" si="3"/>
        <v>0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</row>
    <row r="41" spans="1:89" ht="15.75" customHeight="1">
      <c r="A41" s="97" t="s">
        <v>103</v>
      </c>
      <c r="B41" s="29" t="str">
        <f>'Додаток2 скор'!B47</f>
        <v>інше використання прибутку (прибуток у тарифах НКРЕ)</v>
      </c>
      <c r="C41" s="69" t="s">
        <v>84</v>
      </c>
      <c r="D41" s="70" t="e">
        <f>F41+H41+#REF!</f>
        <v>#REF!</v>
      </c>
      <c r="E41" s="73" t="e">
        <f t="shared" si="5"/>
        <v>#REF!</v>
      </c>
      <c r="F41" s="75">
        <f>'Додаток2 скор'!H47</f>
        <v>0</v>
      </c>
      <c r="G41" s="73">
        <f t="shared" si="6"/>
        <v>0</v>
      </c>
      <c r="H41" s="75">
        <f>'Додаток2 скор'!P47</f>
        <v>0</v>
      </c>
      <c r="I41" s="75">
        <f>ROUND(H41/$H$44*1000,2)</f>
        <v>0</v>
      </c>
      <c r="J41" s="75"/>
      <c r="K41" s="75">
        <f t="shared" si="7"/>
        <v>0</v>
      </c>
      <c r="L41" s="66">
        <f t="shared" si="3"/>
        <v>0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</row>
    <row r="42" spans="1:12" s="27" customFormat="1" ht="15" customHeight="1">
      <c r="A42" s="96">
        <v>8</v>
      </c>
      <c r="B42" s="23" t="s">
        <v>105</v>
      </c>
      <c r="C42" s="62" t="s">
        <v>84</v>
      </c>
      <c r="D42" s="63" t="e">
        <f>F42+H42+#REF!</f>
        <v>#REF!</v>
      </c>
      <c r="E42" s="66" t="e">
        <f>E34+E36</f>
        <v>#REF!</v>
      </c>
      <c r="F42" s="66">
        <f>F34+F36</f>
        <v>41586.31623129226</v>
      </c>
      <c r="G42" s="66">
        <f>G34+G36</f>
        <v>275.54</v>
      </c>
      <c r="H42" s="66">
        <f>H34+H36+H35</f>
        <v>161835.82</v>
      </c>
      <c r="I42" s="66">
        <v>1072.27</v>
      </c>
      <c r="J42" s="66"/>
      <c r="K42" s="98">
        <f>K34+K35+K36</f>
        <v>161875.36545</v>
      </c>
      <c r="L42" s="66">
        <f t="shared" si="3"/>
        <v>1072.5288623076808</v>
      </c>
    </row>
    <row r="43" spans="1:12" s="27" customFormat="1" ht="15.75">
      <c r="A43" s="96">
        <v>9</v>
      </c>
      <c r="B43" s="23" t="s">
        <v>106</v>
      </c>
      <c r="C43" s="86"/>
      <c r="D43" s="63"/>
      <c r="E43" s="66" t="e">
        <f>E42</f>
        <v>#REF!</v>
      </c>
      <c r="F43" s="66"/>
      <c r="G43" s="66">
        <f>G42</f>
        <v>275.54</v>
      </c>
      <c r="H43" s="66"/>
      <c r="I43" s="66">
        <f>I42</f>
        <v>1072.27</v>
      </c>
      <c r="J43" s="66"/>
      <c r="K43" s="66"/>
      <c r="L43" s="66">
        <f>L42</f>
        <v>1072.5288623076808</v>
      </c>
    </row>
    <row r="44" spans="1:12" s="27" customFormat="1" ht="15.75" customHeight="1">
      <c r="A44" s="96">
        <v>10</v>
      </c>
      <c r="B44" s="23" t="s">
        <v>65</v>
      </c>
      <c r="C44" s="62" t="s">
        <v>107</v>
      </c>
      <c r="D44" s="63" t="e">
        <f>F44+H44+#REF!</f>
        <v>#REF!</v>
      </c>
      <c r="E44" s="63"/>
      <c r="F44" s="66">
        <f>'Додаток2 скор'!K50</f>
        <v>150928.68</v>
      </c>
      <c r="G44" s="66"/>
      <c r="H44" s="66">
        <v>150928.68</v>
      </c>
      <c r="I44" s="66"/>
      <c r="J44" s="66"/>
      <c r="K44" s="66">
        <f>H44</f>
        <v>150928.68</v>
      </c>
      <c r="L44" s="66"/>
    </row>
    <row r="45" spans="1:12" s="47" customFormat="1" ht="17.25" customHeight="1">
      <c r="A45" s="96">
        <v>11</v>
      </c>
      <c r="B45" s="100" t="s">
        <v>108</v>
      </c>
      <c r="C45" s="101"/>
      <c r="D45" s="102" t="e">
        <f aca="true" t="shared" si="8" ref="D45:I45">D36/D34*100</f>
        <v>#REF!</v>
      </c>
      <c r="E45" s="102" t="e">
        <f t="shared" si="8"/>
        <v>#REF!</v>
      </c>
      <c r="F45" s="102">
        <f t="shared" si="8"/>
        <v>0</v>
      </c>
      <c r="G45" s="102">
        <f t="shared" si="8"/>
        <v>0</v>
      </c>
      <c r="H45" s="102">
        <f t="shared" si="8"/>
        <v>0</v>
      </c>
      <c r="I45" s="102">
        <f t="shared" si="8"/>
        <v>0</v>
      </c>
      <c r="J45" s="102"/>
      <c r="K45" s="102">
        <v>0</v>
      </c>
      <c r="L45" s="102">
        <v>0</v>
      </c>
    </row>
    <row r="46" spans="1:12" s="44" customFormat="1" ht="95.25" customHeight="1">
      <c r="A46" s="309"/>
      <c r="B46" s="309"/>
      <c r="C46" s="309"/>
      <c r="D46" s="309"/>
      <c r="E46" s="309"/>
      <c r="F46" s="309"/>
      <c r="G46" s="43"/>
      <c r="H46" s="310"/>
      <c r="I46" s="310"/>
      <c r="J46" s="310"/>
      <c r="K46" s="310"/>
      <c r="L46" s="310"/>
    </row>
  </sheetData>
  <sheetProtection selectLockedCells="1" selectUnlockedCells="1"/>
  <mergeCells count="10">
    <mergeCell ref="F8:G8"/>
    <mergeCell ref="H8:L8"/>
    <mergeCell ref="A46:F46"/>
    <mergeCell ref="H46:L46"/>
    <mergeCell ref="A5:L5"/>
    <mergeCell ref="A6:L6"/>
    <mergeCell ref="B7:I7"/>
    <mergeCell ref="A8:A9"/>
    <mergeCell ref="B8:B9"/>
    <mergeCell ref="D8:E8"/>
  </mergeCells>
  <printOptions horizontalCentered="1"/>
  <pageMargins left="0.19652777777777777" right="0.19652777777777777" top="0.2361111111111111" bottom="0.15763888888888888" header="0.5118055555555555" footer="0.5118055555555555"/>
  <pageSetup firstPageNumber="1" useFirstPageNumber="1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DF51"/>
  <sheetViews>
    <sheetView view="pageBreakPreview" zoomScale="70" zoomScaleSheetLayoutView="70" zoomScalePageLayoutView="0" workbookViewId="0" topLeftCell="A1">
      <pane xSplit="3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J16" sqref="J16"/>
    </sheetView>
  </sheetViews>
  <sheetFormatPr defaultColWidth="11.57421875" defaultRowHeight="12.75"/>
  <cols>
    <col min="1" max="1" width="8.57421875" style="2" customWidth="1"/>
    <col min="2" max="2" width="62.421875" style="2" customWidth="1"/>
    <col min="3" max="7" width="0" style="2" hidden="1" customWidth="1"/>
    <col min="8" max="8" width="11.28125" style="2" customWidth="1"/>
    <col min="9" max="9" width="10.28125" style="2" customWidth="1"/>
    <col min="10" max="10" width="8.8515625" style="50" customWidth="1"/>
    <col min="11" max="11" width="12.8515625" style="50" customWidth="1"/>
    <col min="12" max="12" width="13.140625" style="50" customWidth="1"/>
    <col min="13" max="13" width="11.8515625" style="2" customWidth="1"/>
    <col min="14" max="14" width="10.00390625" style="2" customWidth="1"/>
    <col min="15" max="15" width="8.8515625" style="2" customWidth="1"/>
    <col min="16" max="16" width="12.8515625" style="2" customWidth="1"/>
    <col min="17" max="17" width="13.140625" style="2" customWidth="1"/>
    <col min="18" max="18" width="11.00390625" style="2" customWidth="1"/>
    <col min="19" max="19" width="10.140625" style="2" customWidth="1"/>
    <col min="20" max="20" width="8.7109375" style="2" customWidth="1"/>
    <col min="21" max="21" width="13.8515625" style="2" customWidth="1"/>
    <col min="22" max="22" width="11.8515625" style="2" customWidth="1"/>
    <col min="23" max="30" width="0" style="2" hidden="1" customWidth="1"/>
    <col min="31" max="31" width="8.140625" style="2" customWidth="1"/>
    <col min="32" max="16384" width="11.57421875" style="2" customWidth="1"/>
  </cols>
  <sheetData>
    <row r="1" spans="1:22" ht="6.75" customHeight="1">
      <c r="A1" s="51"/>
      <c r="B1" s="10"/>
      <c r="C1" s="10"/>
      <c r="D1" s="10"/>
      <c r="E1" s="10"/>
      <c r="F1" s="10"/>
      <c r="G1" s="10"/>
      <c r="H1" s="10"/>
      <c r="I1" s="10"/>
      <c r="J1" s="52"/>
      <c r="K1" s="52"/>
      <c r="L1" s="52"/>
      <c r="M1" s="10"/>
      <c r="N1" s="52"/>
      <c r="O1" s="52"/>
      <c r="P1" s="52"/>
      <c r="Q1" s="52"/>
      <c r="R1" s="52"/>
      <c r="T1" s="52"/>
      <c r="U1" s="52"/>
      <c r="V1" s="52"/>
    </row>
    <row r="2" spans="1:22" ht="68.25" customHeight="1">
      <c r="A2" s="306" t="s">
        <v>116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</row>
    <row r="3" spans="1:22" ht="15.75">
      <c r="A3" s="53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54"/>
      <c r="P3" s="54"/>
      <c r="Q3" s="54"/>
      <c r="R3" s="308"/>
      <c r="S3" s="308"/>
      <c r="T3" s="54"/>
      <c r="U3" s="308" t="s">
        <v>70</v>
      </c>
      <c r="V3" s="308"/>
    </row>
    <row r="4" spans="1:110" ht="54" customHeight="1">
      <c r="A4" s="299" t="s">
        <v>2</v>
      </c>
      <c r="B4" s="299" t="s">
        <v>3</v>
      </c>
      <c r="C4" s="55" t="s">
        <v>71</v>
      </c>
      <c r="D4" s="299" t="s">
        <v>72</v>
      </c>
      <c r="E4" s="299"/>
      <c r="F4" s="299"/>
      <c r="G4" s="299"/>
      <c r="H4" s="299" t="s">
        <v>117</v>
      </c>
      <c r="I4" s="299"/>
      <c r="J4" s="299"/>
      <c r="K4" s="299"/>
      <c r="L4" s="299"/>
      <c r="M4" s="299" t="s">
        <v>74</v>
      </c>
      <c r="N4" s="299"/>
      <c r="O4" s="299"/>
      <c r="P4" s="299"/>
      <c r="Q4" s="299"/>
      <c r="R4" s="299" t="s">
        <v>75</v>
      </c>
      <c r="S4" s="299"/>
      <c r="T4" s="299"/>
      <c r="U4" s="299"/>
      <c r="V4" s="299"/>
      <c r="W4" s="305" t="s">
        <v>76</v>
      </c>
      <c r="X4" s="305"/>
      <c r="Y4" s="305" t="s">
        <v>5</v>
      </c>
      <c r="Z4" s="305"/>
      <c r="AA4" s="305" t="s">
        <v>77</v>
      </c>
      <c r="AB4" s="305"/>
      <c r="AC4" s="305" t="s">
        <v>78</v>
      </c>
      <c r="AD4" s="30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</row>
    <row r="5" spans="1:110" ht="46.5" customHeight="1">
      <c r="A5" s="299"/>
      <c r="B5" s="299"/>
      <c r="C5" s="56"/>
      <c r="D5" s="299" t="s">
        <v>79</v>
      </c>
      <c r="E5" s="299"/>
      <c r="F5" s="299" t="s">
        <v>80</v>
      </c>
      <c r="G5" s="299"/>
      <c r="H5" s="299" t="s">
        <v>79</v>
      </c>
      <c r="I5" s="299"/>
      <c r="J5" s="13" t="s">
        <v>81</v>
      </c>
      <c r="K5" s="299" t="s">
        <v>80</v>
      </c>
      <c r="L5" s="299"/>
      <c r="M5" s="299" t="s">
        <v>79</v>
      </c>
      <c r="N5" s="299"/>
      <c r="O5" s="13" t="s">
        <v>81</v>
      </c>
      <c r="P5" s="299" t="s">
        <v>80</v>
      </c>
      <c r="Q5" s="299"/>
      <c r="R5" s="299" t="s">
        <v>79</v>
      </c>
      <c r="S5" s="299"/>
      <c r="T5" s="13" t="s">
        <v>81</v>
      </c>
      <c r="U5" s="299" t="s">
        <v>80</v>
      </c>
      <c r="V5" s="299"/>
      <c r="W5" s="57"/>
      <c r="X5" s="58"/>
      <c r="Y5" s="57"/>
      <c r="Z5" s="58"/>
      <c r="AA5" s="57"/>
      <c r="AB5" s="58"/>
      <c r="AC5" s="57"/>
      <c r="AD5" s="58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</row>
    <row r="6" spans="1:110" ht="36.75" customHeight="1">
      <c r="A6" s="299"/>
      <c r="B6" s="299"/>
      <c r="C6" s="56"/>
      <c r="D6" s="59" t="s">
        <v>6</v>
      </c>
      <c r="E6" s="59" t="s">
        <v>7</v>
      </c>
      <c r="F6" s="59" t="s">
        <v>6</v>
      </c>
      <c r="G6" s="59" t="s">
        <v>7</v>
      </c>
      <c r="H6" s="59" t="s">
        <v>6</v>
      </c>
      <c r="I6" s="59" t="s">
        <v>7</v>
      </c>
      <c r="J6" s="17" t="s">
        <v>82</v>
      </c>
      <c r="K6" s="17" t="s">
        <v>6</v>
      </c>
      <c r="L6" s="17" t="s">
        <v>7</v>
      </c>
      <c r="M6" s="59" t="s">
        <v>6</v>
      </c>
      <c r="N6" s="17" t="s">
        <v>7</v>
      </c>
      <c r="O6" s="17" t="s">
        <v>82</v>
      </c>
      <c r="P6" s="17" t="s">
        <v>6</v>
      </c>
      <c r="Q6" s="17" t="s">
        <v>7</v>
      </c>
      <c r="R6" s="17" t="s">
        <v>6</v>
      </c>
      <c r="S6" s="17" t="s">
        <v>7</v>
      </c>
      <c r="T6" s="17" t="s">
        <v>82</v>
      </c>
      <c r="U6" s="17" t="s">
        <v>6</v>
      </c>
      <c r="V6" s="17" t="s">
        <v>7</v>
      </c>
      <c r="W6" s="17" t="s">
        <v>83</v>
      </c>
      <c r="X6" s="17" t="s">
        <v>7</v>
      </c>
      <c r="Y6" s="17" t="s">
        <v>83</v>
      </c>
      <c r="Z6" s="17" t="s">
        <v>7</v>
      </c>
      <c r="AA6" s="17" t="s">
        <v>83</v>
      </c>
      <c r="AB6" s="17" t="s">
        <v>7</v>
      </c>
      <c r="AC6" s="17" t="s">
        <v>83</v>
      </c>
      <c r="AD6" s="17" t="s">
        <v>7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</row>
    <row r="7" spans="1:110" ht="15.75" customHeight="1">
      <c r="A7" s="20">
        <v>1</v>
      </c>
      <c r="B7" s="20">
        <v>2</v>
      </c>
      <c r="C7" s="60">
        <v>3</v>
      </c>
      <c r="D7" s="60">
        <v>3</v>
      </c>
      <c r="E7" s="60">
        <v>4</v>
      </c>
      <c r="F7" s="60">
        <v>5</v>
      </c>
      <c r="G7" s="60">
        <v>6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60">
        <v>16</v>
      </c>
      <c r="V7" s="60">
        <v>17</v>
      </c>
      <c r="W7" s="60">
        <v>3</v>
      </c>
      <c r="X7" s="60">
        <v>4</v>
      </c>
      <c r="Y7" s="60">
        <v>5</v>
      </c>
      <c r="Z7" s="60">
        <v>6</v>
      </c>
      <c r="AA7" s="60">
        <v>7</v>
      </c>
      <c r="AB7" s="60">
        <v>8</v>
      </c>
      <c r="AC7" s="60">
        <v>9</v>
      </c>
      <c r="AD7" s="60">
        <v>10</v>
      </c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</row>
    <row r="8" spans="1:31" s="27" customFormat="1" ht="16.5" customHeight="1">
      <c r="A8" s="13">
        <v>1</v>
      </c>
      <c r="B8" s="61" t="s">
        <v>8</v>
      </c>
      <c r="C8" s="62" t="s">
        <v>84</v>
      </c>
      <c r="D8" s="103">
        <f aca="true" t="shared" si="0" ref="D8:D48">H8+M8+R8</f>
        <v>85863.94895600001</v>
      </c>
      <c r="E8" s="103">
        <f aca="true" t="shared" si="1" ref="E8:E47">D8/$D$50*1000</f>
        <v>405.13265670578136</v>
      </c>
      <c r="F8" s="103">
        <f aca="true" t="shared" si="2" ref="F8:F16">H8+P8+U8</f>
        <v>76926.08486269442</v>
      </c>
      <c r="G8" s="103">
        <f aca="true" t="shared" si="3" ref="G8:G16">F8/$D$50*1000</f>
        <v>362.96105070089504</v>
      </c>
      <c r="H8" s="63">
        <f>H9+H22+H23+H27</f>
        <v>42297.9333599672</v>
      </c>
      <c r="I8" s="63">
        <f>H8/$H$50*1000</f>
        <v>280.25113159385745</v>
      </c>
      <c r="J8" s="64">
        <f>K8/H8</f>
        <v>1</v>
      </c>
      <c r="K8" s="63">
        <f>K9+K22+K23+K27</f>
        <v>42297.9333599672</v>
      </c>
      <c r="L8" s="63">
        <f aca="true" t="shared" si="4" ref="L8:L47">K8/$K$50*1000</f>
        <v>280.25113159385745</v>
      </c>
      <c r="M8" s="63">
        <f>M9+M22+M23+M27</f>
        <v>36028.70543041673</v>
      </c>
      <c r="N8" s="63">
        <f>M8/$M$50*1000</f>
        <v>714.0605907119782</v>
      </c>
      <c r="O8" s="64">
        <f>P8/M8</f>
        <v>0.7687441417362081</v>
      </c>
      <c r="P8" s="63">
        <f>P9+P22+P23+P27</f>
        <v>27696.85623397237</v>
      </c>
      <c r="Q8" s="63">
        <f>P8/$M$50*1000</f>
        <v>548.9298959545293</v>
      </c>
      <c r="R8" s="63">
        <f>R9+R22+R23+R27</f>
        <v>7537.310165616074</v>
      </c>
      <c r="S8" s="63">
        <f>R8/$R$50*1000</f>
        <v>714.060662401244</v>
      </c>
      <c r="T8" s="64">
        <f>U8/R8</f>
        <v>0.9195979887326704</v>
      </c>
      <c r="U8" s="63">
        <f>U9+U22+U23+U27</f>
        <v>6931.295268754853</v>
      </c>
      <c r="V8" s="63">
        <f>U8/$R$50*1000</f>
        <v>656.6487489773023</v>
      </c>
      <c r="W8" s="65">
        <v>18463.34</v>
      </c>
      <c r="X8" s="66">
        <v>301.19</v>
      </c>
      <c r="Y8" s="67">
        <v>12392.62</v>
      </c>
      <c r="Z8" s="66">
        <v>237.51</v>
      </c>
      <c r="AA8" s="67">
        <v>4813.97</v>
      </c>
      <c r="AB8" s="66">
        <v>665.37</v>
      </c>
      <c r="AC8" s="67">
        <v>1256.74</v>
      </c>
      <c r="AD8" s="66">
        <v>665.37</v>
      </c>
      <c r="AE8" s="68"/>
    </row>
    <row r="9" spans="1:31" s="27" customFormat="1" ht="16.5" customHeight="1">
      <c r="A9" s="13" t="s">
        <v>9</v>
      </c>
      <c r="B9" s="61" t="s">
        <v>10</v>
      </c>
      <c r="C9" s="62" t="s">
        <v>84</v>
      </c>
      <c r="D9" s="103">
        <f t="shared" si="0"/>
        <v>72735.26908000001</v>
      </c>
      <c r="E9" s="103">
        <f t="shared" si="1"/>
        <v>343.1874862136905</v>
      </c>
      <c r="F9" s="103">
        <f t="shared" si="2"/>
        <v>63797.404986694426</v>
      </c>
      <c r="G9" s="103">
        <f t="shared" si="3"/>
        <v>301.0158802088042</v>
      </c>
      <c r="H9" s="63">
        <f>SUM(H10:H21)-H10-H14-H17</f>
        <v>32948.63054522098</v>
      </c>
      <c r="I9" s="63">
        <f>H9/$H$50*1000</f>
        <v>218.30596110176663</v>
      </c>
      <c r="J9" s="64">
        <f>K9/H9</f>
        <v>1</v>
      </c>
      <c r="K9" s="63">
        <f>SUM(K10:K21)-K10-K14-K17</f>
        <v>32948.63054522098</v>
      </c>
      <c r="L9" s="63">
        <f t="shared" si="4"/>
        <v>218.30596110176663</v>
      </c>
      <c r="M9" s="63">
        <f>SUM(M10:M21)-M10-M14-M17</f>
        <v>32903.19433300245</v>
      </c>
      <c r="N9" s="63">
        <f>M9/$M$50*1000</f>
        <v>652.1154202198874</v>
      </c>
      <c r="O9" s="64">
        <f>P9/M9</f>
        <v>0.7467768900453724</v>
      </c>
      <c r="P9" s="63">
        <f>SUM(P10:P21)-P10-P14-P17</f>
        <v>24571.34513655809</v>
      </c>
      <c r="Q9" s="63">
        <f>P9/$M$50*1000</f>
        <v>486.9847254624386</v>
      </c>
      <c r="R9" s="63">
        <f>SUM(R10:R21)-R10-R14-R17</f>
        <v>6883.4442017765805</v>
      </c>
      <c r="S9" s="63">
        <f>R9/$R$50*1000</f>
        <v>652.1154919091532</v>
      </c>
      <c r="T9" s="64">
        <f>U9/R9</f>
        <v>0.9119605129210153</v>
      </c>
      <c r="U9" s="63">
        <f>SUM(U10:U21)-U10-U14-U17</f>
        <v>6277.429304915359</v>
      </c>
      <c r="V9" s="63">
        <f>U9/$R$50*1000</f>
        <v>594.7035784852116</v>
      </c>
      <c r="W9" s="65">
        <v>16016.67</v>
      </c>
      <c r="X9" s="66">
        <v>261.28</v>
      </c>
      <c r="Y9" s="67">
        <v>10310.1</v>
      </c>
      <c r="Z9" s="66">
        <v>197.59</v>
      </c>
      <c r="AA9" s="67">
        <v>4525.21</v>
      </c>
      <c r="AB9" s="66">
        <v>625.46</v>
      </c>
      <c r="AC9" s="67">
        <v>1181.36</v>
      </c>
      <c r="AD9" s="66">
        <v>625.46</v>
      </c>
      <c r="AE9" s="68"/>
    </row>
    <row r="10" spans="1:110" s="34" customFormat="1" ht="16.5" customHeight="1">
      <c r="A10" s="28" t="s">
        <v>11</v>
      </c>
      <c r="B10" s="35" t="s">
        <v>85</v>
      </c>
      <c r="C10" s="69" t="s">
        <v>84</v>
      </c>
      <c r="D10" s="104">
        <f t="shared" si="0"/>
        <v>63225</v>
      </c>
      <c r="E10" s="104">
        <f t="shared" si="1"/>
        <v>298.3150965179681</v>
      </c>
      <c r="F10" s="104">
        <f t="shared" si="2"/>
        <v>54287.13590669442</v>
      </c>
      <c r="G10" s="104">
        <f t="shared" si="3"/>
        <v>256.14349051308176</v>
      </c>
      <c r="H10" s="70">
        <f>H11+H12</f>
        <v>26176.1</v>
      </c>
      <c r="I10" s="70">
        <f>I11+I12</f>
        <v>173.43357140604422</v>
      </c>
      <c r="J10" s="71">
        <f>IF(H10=0,0,K10/H10)</f>
        <v>1</v>
      </c>
      <c r="K10" s="70">
        <f>K11+K12</f>
        <v>26176.1</v>
      </c>
      <c r="L10" s="70">
        <f t="shared" si="4"/>
        <v>173.43357140604422</v>
      </c>
      <c r="M10" s="70">
        <f>M11+M12</f>
        <v>30639.109</v>
      </c>
      <c r="N10" s="70">
        <f>N11+N12</f>
        <v>607.2430305241647</v>
      </c>
      <c r="O10" s="71">
        <f>IF(M10=0," ",P10/M10)</f>
        <v>0.7280648991312262</v>
      </c>
      <c r="P10" s="70">
        <f>P11+P12</f>
        <v>22307.259803555644</v>
      </c>
      <c r="Q10" s="70">
        <f>Q11+Q12</f>
        <v>442.1123357667161</v>
      </c>
      <c r="R10" s="70">
        <f>R11+R12</f>
        <v>6409.791</v>
      </c>
      <c r="S10" s="70">
        <f>S11+S12</f>
        <v>607.2431022134307</v>
      </c>
      <c r="T10" s="71">
        <f>IF(R10=0," ",U10/R10)</f>
        <v>0.9054548117308004</v>
      </c>
      <c r="U10" s="70">
        <f>U11+U12</f>
        <v>5803.776103138779</v>
      </c>
      <c r="V10" s="70">
        <f>V11+V12</f>
        <v>549.8311887894891</v>
      </c>
      <c r="W10" s="72">
        <v>13921.04</v>
      </c>
      <c r="X10" s="73">
        <v>227.09</v>
      </c>
      <c r="Y10" s="74">
        <v>8526.37</v>
      </c>
      <c r="Z10" s="73">
        <v>163.41</v>
      </c>
      <c r="AA10" s="74">
        <v>4277.88</v>
      </c>
      <c r="AB10" s="75">
        <v>591.28</v>
      </c>
      <c r="AC10" s="74">
        <v>1116.79</v>
      </c>
      <c r="AD10" s="75">
        <v>591.27</v>
      </c>
      <c r="AE10" s="68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</row>
    <row r="11" spans="1:110" s="34" customFormat="1" ht="16.5" customHeight="1">
      <c r="A11" s="28" t="s">
        <v>86</v>
      </c>
      <c r="B11" s="35" t="s">
        <v>87</v>
      </c>
      <c r="C11" s="69"/>
      <c r="D11" s="104">
        <f t="shared" si="0"/>
        <v>63225</v>
      </c>
      <c r="E11" s="104">
        <f t="shared" si="1"/>
        <v>298.3150965179681</v>
      </c>
      <c r="F11" s="104">
        <f t="shared" si="2"/>
        <v>54287.13590669442</v>
      </c>
      <c r="G11" s="104">
        <f t="shared" si="3"/>
        <v>256.14349051308176</v>
      </c>
      <c r="H11" s="105">
        <v>26176.1</v>
      </c>
      <c r="I11" s="70">
        <f>H11/$H$50*1000</f>
        <v>173.43357140604422</v>
      </c>
      <c r="J11" s="106">
        <v>1</v>
      </c>
      <c r="K11" s="70">
        <f>H11*J11</f>
        <v>26176.1</v>
      </c>
      <c r="L11" s="70">
        <f t="shared" si="4"/>
        <v>173.43357140604422</v>
      </c>
      <c r="M11" s="105">
        <v>30639.109</v>
      </c>
      <c r="N11" s="70">
        <f>M11/$M$50*1000</f>
        <v>607.2430305241647</v>
      </c>
      <c r="O11" s="106">
        <f>2783.96/3823.78</f>
        <v>0.7280648991312262</v>
      </c>
      <c r="P11" s="70">
        <f>M11*O11</f>
        <v>22307.259803555644</v>
      </c>
      <c r="Q11" s="70">
        <f>P11/$P$50*1000</f>
        <v>442.1123357667161</v>
      </c>
      <c r="R11" s="105">
        <v>6409.791</v>
      </c>
      <c r="S11" s="70">
        <f>R11/$R$50*1000</f>
        <v>607.2431022134307</v>
      </c>
      <c r="T11" s="106">
        <f>3462.26/3823.78</f>
        <v>0.9054548117308004</v>
      </c>
      <c r="U11" s="70">
        <f>R11*T11</f>
        <v>5803.776103138779</v>
      </c>
      <c r="V11" s="70">
        <f>U11/$U$50*1000</f>
        <v>549.8311887894891</v>
      </c>
      <c r="W11" s="72"/>
      <c r="X11" s="73"/>
      <c r="Y11" s="74"/>
      <c r="Z11" s="73"/>
      <c r="AA11" s="74"/>
      <c r="AB11" s="75"/>
      <c r="AC11" s="74"/>
      <c r="AD11" s="75"/>
      <c r="AE11" s="68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</row>
    <row r="12" spans="1:110" s="34" customFormat="1" ht="16.5" customHeight="1">
      <c r="A12" s="28" t="s">
        <v>88</v>
      </c>
      <c r="B12" s="35" t="s">
        <v>89</v>
      </c>
      <c r="C12" s="69"/>
      <c r="D12" s="104">
        <f t="shared" si="0"/>
        <v>0</v>
      </c>
      <c r="E12" s="104">
        <f t="shared" si="1"/>
        <v>0</v>
      </c>
      <c r="F12" s="104">
        <f t="shared" si="2"/>
        <v>0</v>
      </c>
      <c r="G12" s="104">
        <f t="shared" si="3"/>
        <v>0</v>
      </c>
      <c r="H12" s="105">
        <v>0</v>
      </c>
      <c r="I12" s="70">
        <f>H12/$H$50*1000</f>
        <v>0</v>
      </c>
      <c r="J12" s="71">
        <f>IF(H12=0,0,1)</f>
        <v>0</v>
      </c>
      <c r="K12" s="70">
        <f>H12*J12</f>
        <v>0</v>
      </c>
      <c r="L12" s="70">
        <f t="shared" si="4"/>
        <v>0</v>
      </c>
      <c r="M12" s="105">
        <v>0</v>
      </c>
      <c r="N12" s="70">
        <f>M12/$M$50*1000</f>
        <v>0</v>
      </c>
      <c r="O12" s="71">
        <f>IF(M12=0,0,1)</f>
        <v>0</v>
      </c>
      <c r="P12" s="70">
        <f>M12*O12</f>
        <v>0</v>
      </c>
      <c r="Q12" s="70">
        <f>P12/$P$50*1000</f>
        <v>0</v>
      </c>
      <c r="R12" s="105">
        <v>0</v>
      </c>
      <c r="S12" s="70">
        <f>R12/$R$50*1000</f>
        <v>0</v>
      </c>
      <c r="T12" s="71">
        <f>IF(R12=0,0,1)</f>
        <v>0</v>
      </c>
      <c r="U12" s="70">
        <f>R12*T12</f>
        <v>0</v>
      </c>
      <c r="V12" s="70">
        <f>U12/$U$50*1000</f>
        <v>0</v>
      </c>
      <c r="W12" s="72"/>
      <c r="X12" s="73"/>
      <c r="Y12" s="74"/>
      <c r="Z12" s="73"/>
      <c r="AA12" s="74"/>
      <c r="AB12" s="75"/>
      <c r="AC12" s="74"/>
      <c r="AD12" s="75"/>
      <c r="AE12" s="68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</row>
    <row r="13" spans="1:110" s="34" customFormat="1" ht="16.5" customHeight="1">
      <c r="A13" s="28" t="s">
        <v>13</v>
      </c>
      <c r="B13" s="35" t="s">
        <v>90</v>
      </c>
      <c r="C13" s="69" t="s">
        <v>84</v>
      </c>
      <c r="D13" s="104">
        <f t="shared" si="0"/>
        <v>8532.95379</v>
      </c>
      <c r="E13" s="104">
        <f t="shared" si="1"/>
        <v>40.26111401260911</v>
      </c>
      <c r="F13" s="104">
        <f t="shared" si="2"/>
        <v>8532.95379</v>
      </c>
      <c r="G13" s="104">
        <f t="shared" si="3"/>
        <v>40.26111401260911</v>
      </c>
      <c r="H13" s="105">
        <v>6076.556793252597</v>
      </c>
      <c r="I13" s="70">
        <f>H13/$H$50*1000</f>
        <v>40.26111401260911</v>
      </c>
      <c r="J13" s="71">
        <f>K13/H13</f>
        <v>1</v>
      </c>
      <c r="K13" s="70">
        <f>H13</f>
        <v>6076.556793252597</v>
      </c>
      <c r="L13" s="70">
        <f t="shared" si="4"/>
        <v>40.26111401260911</v>
      </c>
      <c r="M13" s="105">
        <v>2031.4183921204665</v>
      </c>
      <c r="N13" s="70">
        <f>M13/$M$50*1000</f>
        <v>40.26111401260911</v>
      </c>
      <c r="O13" s="71">
        <f>P13/M13</f>
        <v>1</v>
      </c>
      <c r="P13" s="70">
        <f>M13</f>
        <v>2031.4183921204665</v>
      </c>
      <c r="Q13" s="70">
        <f>P13/$P$50*1000</f>
        <v>40.26111401260911</v>
      </c>
      <c r="R13" s="105">
        <v>424.97860462693626</v>
      </c>
      <c r="S13" s="70">
        <f>R13/$R$50*1000</f>
        <v>40.26111401260911</v>
      </c>
      <c r="T13" s="71">
        <f>U13/R13</f>
        <v>1</v>
      </c>
      <c r="U13" s="70">
        <f>R13</f>
        <v>424.97860462693626</v>
      </c>
      <c r="V13" s="70">
        <f>U13/$U$50*1000</f>
        <v>40.26111401260911</v>
      </c>
      <c r="W13" s="76">
        <v>1850</v>
      </c>
      <c r="X13" s="73">
        <v>30.18</v>
      </c>
      <c r="Y13" s="74">
        <v>1574.65</v>
      </c>
      <c r="Z13" s="73">
        <v>30.18</v>
      </c>
      <c r="AA13" s="74">
        <v>218.34</v>
      </c>
      <c r="AB13" s="75">
        <v>30.18</v>
      </c>
      <c r="AC13" s="74">
        <v>57</v>
      </c>
      <c r="AD13" s="75">
        <v>30.18</v>
      </c>
      <c r="AE13" s="68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</row>
    <row r="14" spans="1:110" s="34" customFormat="1" ht="21" customHeight="1">
      <c r="A14" s="28" t="s">
        <v>15</v>
      </c>
      <c r="B14" s="35" t="s">
        <v>91</v>
      </c>
      <c r="C14" s="69" t="s">
        <v>84</v>
      </c>
      <c r="D14" s="104">
        <f t="shared" si="0"/>
        <v>0</v>
      </c>
      <c r="E14" s="104">
        <f t="shared" si="1"/>
        <v>0</v>
      </c>
      <c r="F14" s="104">
        <f t="shared" si="2"/>
        <v>0</v>
      </c>
      <c r="G14" s="104">
        <f t="shared" si="3"/>
        <v>0</v>
      </c>
      <c r="H14" s="70">
        <f>H15+H16</f>
        <v>0</v>
      </c>
      <c r="I14" s="70">
        <f>I15+I16</f>
        <v>0</v>
      </c>
      <c r="J14" s="71">
        <f>IF(H14=0,0,K14/H14)</f>
        <v>0</v>
      </c>
      <c r="K14" s="70">
        <f>K15+K16</f>
        <v>0</v>
      </c>
      <c r="L14" s="70">
        <f t="shared" si="4"/>
        <v>0</v>
      </c>
      <c r="M14" s="70">
        <f>M15+M16</f>
        <v>0</v>
      </c>
      <c r="N14" s="70">
        <f>N15+N16</f>
        <v>0</v>
      </c>
      <c r="O14" s="71">
        <f>IF(M14=0,0,P14/M14)</f>
        <v>0</v>
      </c>
      <c r="P14" s="70">
        <f>P15+P16</f>
        <v>0</v>
      </c>
      <c r="Q14" s="70">
        <f>Q15+Q16</f>
        <v>0</v>
      </c>
      <c r="R14" s="70">
        <f>R15+R16</f>
        <v>0</v>
      </c>
      <c r="S14" s="70">
        <f>S15+S16</f>
        <v>0</v>
      </c>
      <c r="T14" s="71">
        <f>IF(R14=0,0,U14/R14)</f>
        <v>0</v>
      </c>
      <c r="U14" s="70">
        <f>U15+U16</f>
        <v>0</v>
      </c>
      <c r="V14" s="70">
        <f>V15+V16</f>
        <v>0</v>
      </c>
      <c r="W14" s="76">
        <v>0</v>
      </c>
      <c r="X14" s="73">
        <v>0</v>
      </c>
      <c r="Y14" s="74">
        <v>0</v>
      </c>
      <c r="Z14" s="73">
        <v>0</v>
      </c>
      <c r="AA14" s="74">
        <v>0</v>
      </c>
      <c r="AB14" s="75">
        <v>0</v>
      </c>
      <c r="AC14" s="74">
        <v>0</v>
      </c>
      <c r="AD14" s="75">
        <v>0</v>
      </c>
      <c r="AE14" s="68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</row>
    <row r="15" spans="1:110" s="34" customFormat="1" ht="15.75" customHeight="1">
      <c r="A15" s="28" t="s">
        <v>92</v>
      </c>
      <c r="B15" s="35"/>
      <c r="C15" s="69"/>
      <c r="D15" s="104">
        <f t="shared" si="0"/>
        <v>0</v>
      </c>
      <c r="E15" s="104">
        <f t="shared" si="1"/>
        <v>0</v>
      </c>
      <c r="F15" s="104">
        <f t="shared" si="2"/>
        <v>0</v>
      </c>
      <c r="G15" s="104">
        <f t="shared" si="3"/>
        <v>0</v>
      </c>
      <c r="H15" s="105">
        <v>0</v>
      </c>
      <c r="I15" s="70">
        <f aca="true" t="shared" si="5" ref="I15:I22">H15/$H$50*1000</f>
        <v>0</v>
      </c>
      <c r="J15" s="106">
        <v>0</v>
      </c>
      <c r="K15" s="70">
        <f>H15*J15</f>
        <v>0</v>
      </c>
      <c r="L15" s="70">
        <f t="shared" si="4"/>
        <v>0</v>
      </c>
      <c r="M15" s="105">
        <v>0</v>
      </c>
      <c r="N15" s="70">
        <f aca="true" t="shared" si="6" ref="N15:N47">M15/$M$50*1000</f>
        <v>0</v>
      </c>
      <c r="O15" s="106">
        <v>0</v>
      </c>
      <c r="P15" s="70">
        <f>M15*O15</f>
        <v>0</v>
      </c>
      <c r="Q15" s="70">
        <f aca="true" t="shared" si="7" ref="Q15:Q47">P15/$P$50*1000</f>
        <v>0</v>
      </c>
      <c r="R15" s="105">
        <v>0</v>
      </c>
      <c r="S15" s="70">
        <f>R15/$R$50*1000</f>
        <v>0</v>
      </c>
      <c r="T15" s="106">
        <v>0</v>
      </c>
      <c r="U15" s="70">
        <f>R15*T15</f>
        <v>0</v>
      </c>
      <c r="V15" s="70">
        <f>U15/$U$50*1000</f>
        <v>0</v>
      </c>
      <c r="W15" s="76"/>
      <c r="X15" s="73"/>
      <c r="Y15" s="74"/>
      <c r="Z15" s="73"/>
      <c r="AA15" s="74"/>
      <c r="AB15" s="75"/>
      <c r="AC15" s="74"/>
      <c r="AD15" s="75"/>
      <c r="AE15" s="68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</row>
    <row r="16" spans="1:110" s="34" customFormat="1" ht="15.75" customHeight="1">
      <c r="A16" s="28" t="s">
        <v>93</v>
      </c>
      <c r="B16" s="35"/>
      <c r="C16" s="69"/>
      <c r="D16" s="104">
        <f t="shared" si="0"/>
        <v>0</v>
      </c>
      <c r="E16" s="104">
        <f t="shared" si="1"/>
        <v>0</v>
      </c>
      <c r="F16" s="104">
        <f t="shared" si="2"/>
        <v>0</v>
      </c>
      <c r="G16" s="104">
        <f t="shared" si="3"/>
        <v>0</v>
      </c>
      <c r="H16" s="105">
        <v>0</v>
      </c>
      <c r="I16" s="70">
        <f t="shared" si="5"/>
        <v>0</v>
      </c>
      <c r="J16" s="106">
        <v>0</v>
      </c>
      <c r="K16" s="70">
        <f>H16*J16</f>
        <v>0</v>
      </c>
      <c r="L16" s="70">
        <f t="shared" si="4"/>
        <v>0</v>
      </c>
      <c r="M16" s="105">
        <v>0</v>
      </c>
      <c r="N16" s="70">
        <f t="shared" si="6"/>
        <v>0</v>
      </c>
      <c r="O16" s="106">
        <v>0</v>
      </c>
      <c r="P16" s="70">
        <f>M16*O16</f>
        <v>0</v>
      </c>
      <c r="Q16" s="70">
        <f t="shared" si="7"/>
        <v>0</v>
      </c>
      <c r="R16" s="105">
        <v>0</v>
      </c>
      <c r="S16" s="70">
        <f>R16/$R$50*1000</f>
        <v>0</v>
      </c>
      <c r="T16" s="106">
        <v>0</v>
      </c>
      <c r="U16" s="70">
        <f>R16*T16</f>
        <v>0</v>
      </c>
      <c r="V16" s="70">
        <f>U16/$U$50*1000</f>
        <v>0</v>
      </c>
      <c r="W16" s="76"/>
      <c r="X16" s="73"/>
      <c r="Y16" s="74"/>
      <c r="Z16" s="73"/>
      <c r="AA16" s="74"/>
      <c r="AB16" s="75"/>
      <c r="AC16" s="74"/>
      <c r="AD16" s="75"/>
      <c r="AE16" s="68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</row>
    <row r="17" spans="1:110" s="34" customFormat="1" ht="15.75" customHeight="1">
      <c r="A17" s="28" t="s">
        <v>17</v>
      </c>
      <c r="B17" s="35" t="s">
        <v>94</v>
      </c>
      <c r="C17" s="69"/>
      <c r="D17" s="104">
        <f t="shared" si="0"/>
        <v>0</v>
      </c>
      <c r="E17" s="104">
        <f t="shared" si="1"/>
        <v>0</v>
      </c>
      <c r="F17" s="104">
        <f>F18+F19</f>
        <v>0</v>
      </c>
      <c r="G17" s="104">
        <f>G18+G19</f>
        <v>0</v>
      </c>
      <c r="H17" s="70">
        <f>H18+H19</f>
        <v>0</v>
      </c>
      <c r="I17" s="70">
        <f t="shared" si="5"/>
        <v>0</v>
      </c>
      <c r="J17" s="71">
        <f>IF(H17=0,0,K17/H17)</f>
        <v>0</v>
      </c>
      <c r="K17" s="70">
        <f>K18+K19</f>
        <v>0</v>
      </c>
      <c r="L17" s="70">
        <f t="shared" si="4"/>
        <v>0</v>
      </c>
      <c r="M17" s="70">
        <f>M18+M19</f>
        <v>0</v>
      </c>
      <c r="N17" s="70">
        <f t="shared" si="6"/>
        <v>0</v>
      </c>
      <c r="O17" s="71">
        <f>IF(M17=0,0,P17/M17)</f>
        <v>0</v>
      </c>
      <c r="P17" s="70">
        <f>P18+P19</f>
        <v>0</v>
      </c>
      <c r="Q17" s="70">
        <f t="shared" si="7"/>
        <v>0</v>
      </c>
      <c r="R17" s="70">
        <f>R18+R19</f>
        <v>0</v>
      </c>
      <c r="S17" s="70">
        <f>S18+S19</f>
        <v>0</v>
      </c>
      <c r="T17" s="71">
        <f>IF(R17=0,0,U17/R17)</f>
        <v>0</v>
      </c>
      <c r="U17" s="70">
        <f>U18+U19</f>
        <v>0</v>
      </c>
      <c r="V17" s="70">
        <f>V18+V19</f>
        <v>0</v>
      </c>
      <c r="W17" s="76"/>
      <c r="X17" s="73"/>
      <c r="Y17" s="74"/>
      <c r="Z17" s="73"/>
      <c r="AA17" s="74"/>
      <c r="AB17" s="75"/>
      <c r="AC17" s="74"/>
      <c r="AD17" s="75"/>
      <c r="AE17" s="68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</row>
    <row r="18" spans="1:110" s="34" customFormat="1" ht="15.75" customHeight="1">
      <c r="A18" s="28" t="s">
        <v>95</v>
      </c>
      <c r="B18" s="35"/>
      <c r="C18" s="69"/>
      <c r="D18" s="104">
        <f t="shared" si="0"/>
        <v>0</v>
      </c>
      <c r="E18" s="104">
        <f t="shared" si="1"/>
        <v>0</v>
      </c>
      <c r="F18" s="104">
        <f aca="true" t="shared" si="8" ref="F18:F48">H18+P18+U18</f>
        <v>0</v>
      </c>
      <c r="G18" s="104">
        <f aca="true" t="shared" si="9" ref="G18:G40">F18/$D$50*1000</f>
        <v>0</v>
      </c>
      <c r="H18" s="105"/>
      <c r="I18" s="70">
        <f t="shared" si="5"/>
        <v>0</v>
      </c>
      <c r="J18" s="106">
        <v>0</v>
      </c>
      <c r="K18" s="70">
        <f>H18*J18</f>
        <v>0</v>
      </c>
      <c r="L18" s="70">
        <f t="shared" si="4"/>
        <v>0</v>
      </c>
      <c r="M18" s="105"/>
      <c r="N18" s="70">
        <f t="shared" si="6"/>
        <v>0</v>
      </c>
      <c r="O18" s="106">
        <v>0</v>
      </c>
      <c r="P18" s="70">
        <f>M18*O18</f>
        <v>0</v>
      </c>
      <c r="Q18" s="70">
        <f t="shared" si="7"/>
        <v>0</v>
      </c>
      <c r="R18" s="105"/>
      <c r="S18" s="70">
        <f aca="true" t="shared" si="10" ref="S18:S47">R18/$R$50*1000</f>
        <v>0</v>
      </c>
      <c r="T18" s="106">
        <v>0</v>
      </c>
      <c r="U18" s="70">
        <f>R18*T18</f>
        <v>0</v>
      </c>
      <c r="V18" s="70">
        <f aca="true" t="shared" si="11" ref="V18:V47">U18/$U$50*1000</f>
        <v>0</v>
      </c>
      <c r="W18" s="76"/>
      <c r="X18" s="73"/>
      <c r="Y18" s="74"/>
      <c r="Z18" s="73"/>
      <c r="AA18" s="74"/>
      <c r="AB18" s="75"/>
      <c r="AC18" s="74"/>
      <c r="AD18" s="75"/>
      <c r="AE18" s="68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</row>
    <row r="19" spans="1:110" s="34" customFormat="1" ht="15.75" customHeight="1">
      <c r="A19" s="28" t="s">
        <v>96</v>
      </c>
      <c r="B19" s="35"/>
      <c r="C19" s="69"/>
      <c r="D19" s="104">
        <f t="shared" si="0"/>
        <v>0</v>
      </c>
      <c r="E19" s="104">
        <f t="shared" si="1"/>
        <v>0</v>
      </c>
      <c r="F19" s="104">
        <f t="shared" si="8"/>
        <v>0</v>
      </c>
      <c r="G19" s="104">
        <f t="shared" si="9"/>
        <v>0</v>
      </c>
      <c r="H19" s="105"/>
      <c r="I19" s="70">
        <f t="shared" si="5"/>
        <v>0</v>
      </c>
      <c r="J19" s="71">
        <f aca="true" t="shared" si="12" ref="J19:J40">IF(H19=0,0,1)</f>
        <v>0</v>
      </c>
      <c r="K19" s="70">
        <f>H19*J19</f>
        <v>0</v>
      </c>
      <c r="L19" s="70">
        <f t="shared" si="4"/>
        <v>0</v>
      </c>
      <c r="M19" s="105"/>
      <c r="N19" s="70">
        <f t="shared" si="6"/>
        <v>0</v>
      </c>
      <c r="O19" s="71">
        <f aca="true" t="shared" si="13" ref="O19:O40">IF(M19=0,0,1)</f>
        <v>0</v>
      </c>
      <c r="P19" s="70">
        <f>M19*O19</f>
        <v>0</v>
      </c>
      <c r="Q19" s="70">
        <f t="shared" si="7"/>
        <v>0</v>
      </c>
      <c r="R19" s="105"/>
      <c r="S19" s="70">
        <f t="shared" si="10"/>
        <v>0</v>
      </c>
      <c r="T19" s="71">
        <f aca="true" t="shared" si="14" ref="T19:T40">IF(R19=0,0,1)</f>
        <v>0</v>
      </c>
      <c r="U19" s="70">
        <f>R19*T19</f>
        <v>0</v>
      </c>
      <c r="V19" s="70">
        <f t="shared" si="11"/>
        <v>0</v>
      </c>
      <c r="W19" s="76"/>
      <c r="X19" s="73"/>
      <c r="Y19" s="74"/>
      <c r="Z19" s="73"/>
      <c r="AA19" s="74"/>
      <c r="AB19" s="75"/>
      <c r="AC19" s="74"/>
      <c r="AD19" s="75"/>
      <c r="AE19" s="68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</row>
    <row r="20" spans="1:110" s="34" customFormat="1" ht="17.25" customHeight="1">
      <c r="A20" s="28" t="s">
        <v>19</v>
      </c>
      <c r="B20" s="35" t="s">
        <v>22</v>
      </c>
      <c r="C20" s="69" t="s">
        <v>84</v>
      </c>
      <c r="D20" s="104">
        <f t="shared" si="0"/>
        <v>805.2278</v>
      </c>
      <c r="E20" s="104">
        <f t="shared" si="1"/>
        <v>3.7993137030597244</v>
      </c>
      <c r="F20" s="104">
        <f t="shared" si="8"/>
        <v>805.2278</v>
      </c>
      <c r="G20" s="104">
        <f t="shared" si="9"/>
        <v>3.7993137030597244</v>
      </c>
      <c r="H20" s="105">
        <v>573.4254021087162</v>
      </c>
      <c r="I20" s="70">
        <f t="shared" si="5"/>
        <v>3.7993137030597244</v>
      </c>
      <c r="J20" s="71">
        <f t="shared" si="12"/>
        <v>1</v>
      </c>
      <c r="K20" s="70">
        <f>H20</f>
        <v>573.4254021087162</v>
      </c>
      <c r="L20" s="70">
        <f t="shared" si="4"/>
        <v>3.7993137030597244</v>
      </c>
      <c r="M20" s="105">
        <v>191.69851413981473</v>
      </c>
      <c r="N20" s="70">
        <f t="shared" si="6"/>
        <v>3.799313703059725</v>
      </c>
      <c r="O20" s="71">
        <f t="shared" si="13"/>
        <v>1</v>
      </c>
      <c r="P20" s="70">
        <f>M20</f>
        <v>191.69851413981473</v>
      </c>
      <c r="Q20" s="70">
        <f t="shared" si="7"/>
        <v>3.799313703059725</v>
      </c>
      <c r="R20" s="105">
        <v>40.103883751469105</v>
      </c>
      <c r="S20" s="70">
        <f t="shared" si="10"/>
        <v>3.7993137030597244</v>
      </c>
      <c r="T20" s="71">
        <f t="shared" si="14"/>
        <v>1</v>
      </c>
      <c r="U20" s="70">
        <f>R20</f>
        <v>40.103883751469105</v>
      </c>
      <c r="V20" s="70">
        <f t="shared" si="11"/>
        <v>3.7993137030597244</v>
      </c>
      <c r="W20" s="76">
        <v>28.12</v>
      </c>
      <c r="X20" s="73">
        <v>0.46</v>
      </c>
      <c r="Y20" s="74">
        <v>23.93</v>
      </c>
      <c r="Z20" s="73">
        <v>0.46</v>
      </c>
      <c r="AA20" s="74">
        <v>3.32</v>
      </c>
      <c r="AB20" s="75">
        <v>0.46</v>
      </c>
      <c r="AC20" s="74">
        <v>0.87</v>
      </c>
      <c r="AD20" s="75">
        <v>0.46</v>
      </c>
      <c r="AE20" s="68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</row>
    <row r="21" spans="1:110" s="34" customFormat="1" ht="17.25" customHeight="1">
      <c r="A21" s="28" t="s">
        <v>21</v>
      </c>
      <c r="B21" s="35" t="s">
        <v>24</v>
      </c>
      <c r="C21" s="69" t="s">
        <v>84</v>
      </c>
      <c r="D21" s="104">
        <f t="shared" si="0"/>
        <v>172.08749000000003</v>
      </c>
      <c r="E21" s="104">
        <f t="shared" si="1"/>
        <v>0.8119619800535369</v>
      </c>
      <c r="F21" s="104">
        <f t="shared" si="8"/>
        <v>172.08749000000003</v>
      </c>
      <c r="G21" s="104">
        <f t="shared" si="9"/>
        <v>0.8119619800535369</v>
      </c>
      <c r="H21" s="105">
        <v>122.54834985966664</v>
      </c>
      <c r="I21" s="70">
        <f t="shared" si="5"/>
        <v>0.8119619800535368</v>
      </c>
      <c r="J21" s="71">
        <f t="shared" si="12"/>
        <v>1</v>
      </c>
      <c r="K21" s="70">
        <f>H21</f>
        <v>122.54834985966664</v>
      </c>
      <c r="L21" s="70">
        <f t="shared" si="4"/>
        <v>0.8119619800535368</v>
      </c>
      <c r="M21" s="105">
        <v>40.96842674215946</v>
      </c>
      <c r="N21" s="70">
        <f t="shared" si="6"/>
        <v>0.8119619800535368</v>
      </c>
      <c r="O21" s="71">
        <f t="shared" si="13"/>
        <v>1</v>
      </c>
      <c r="P21" s="70">
        <f>M21</f>
        <v>40.96842674215946</v>
      </c>
      <c r="Q21" s="70">
        <f t="shared" si="7"/>
        <v>0.8119619800535368</v>
      </c>
      <c r="R21" s="105">
        <v>8.570713398173911</v>
      </c>
      <c r="S21" s="70">
        <f t="shared" si="10"/>
        <v>0.8119619800535368</v>
      </c>
      <c r="T21" s="71">
        <f t="shared" si="14"/>
        <v>1</v>
      </c>
      <c r="U21" s="70">
        <f>R21</f>
        <v>8.570713398173911</v>
      </c>
      <c r="V21" s="70">
        <f t="shared" si="11"/>
        <v>0.8119619800535368</v>
      </c>
      <c r="W21" s="76">
        <v>217.51</v>
      </c>
      <c r="X21" s="73">
        <v>3.55</v>
      </c>
      <c r="Y21" s="74">
        <v>185.14</v>
      </c>
      <c r="Z21" s="73">
        <v>3.55</v>
      </c>
      <c r="AA21" s="74">
        <v>25.67</v>
      </c>
      <c r="AB21" s="75">
        <v>3.55</v>
      </c>
      <c r="AC21" s="74">
        <v>6.7</v>
      </c>
      <c r="AD21" s="75">
        <v>3.55</v>
      </c>
      <c r="AE21" s="68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</row>
    <row r="22" spans="1:31" s="27" customFormat="1" ht="16.5" customHeight="1">
      <c r="A22" s="13" t="s">
        <v>25</v>
      </c>
      <c r="B22" s="61" t="s">
        <v>97</v>
      </c>
      <c r="C22" s="62" t="s">
        <v>84</v>
      </c>
      <c r="D22" s="103">
        <f t="shared" si="0"/>
        <v>7822.96698</v>
      </c>
      <c r="E22" s="103">
        <f t="shared" si="1"/>
        <v>36.91117674488853</v>
      </c>
      <c r="F22" s="103">
        <f t="shared" si="8"/>
        <v>7822.96698</v>
      </c>
      <c r="G22" s="103">
        <f t="shared" si="9"/>
        <v>36.91117674488853</v>
      </c>
      <c r="H22" s="107">
        <v>5570.955183352722</v>
      </c>
      <c r="I22" s="63">
        <f t="shared" si="5"/>
        <v>36.91117674488853</v>
      </c>
      <c r="J22" s="64">
        <f t="shared" si="12"/>
        <v>1</v>
      </c>
      <c r="K22" s="63">
        <f>H22</f>
        <v>5570.955183352722</v>
      </c>
      <c r="L22" s="63">
        <f t="shared" si="4"/>
        <v>36.91117674488853</v>
      </c>
      <c r="M22" s="107">
        <v>1862.3936558460025</v>
      </c>
      <c r="N22" s="63">
        <f t="shared" si="6"/>
        <v>36.91117674488853</v>
      </c>
      <c r="O22" s="64">
        <f t="shared" si="13"/>
        <v>1</v>
      </c>
      <c r="P22" s="63">
        <f>M22</f>
        <v>1862.3936558460025</v>
      </c>
      <c r="Q22" s="63">
        <f t="shared" si="7"/>
        <v>36.91117674488853</v>
      </c>
      <c r="R22" s="107">
        <v>389.61814080127556</v>
      </c>
      <c r="S22" s="63">
        <f t="shared" si="10"/>
        <v>36.91117674488853</v>
      </c>
      <c r="T22" s="64">
        <f t="shared" si="14"/>
        <v>1</v>
      </c>
      <c r="U22" s="63">
        <f>R22</f>
        <v>389.61814080127556</v>
      </c>
      <c r="V22" s="63">
        <f t="shared" si="11"/>
        <v>36.91117674488853</v>
      </c>
      <c r="W22" s="85">
        <v>1270.24</v>
      </c>
      <c r="X22" s="66">
        <v>20.72</v>
      </c>
      <c r="Y22" s="67">
        <v>1081.18</v>
      </c>
      <c r="Z22" s="66">
        <v>20.72</v>
      </c>
      <c r="AA22" s="67">
        <v>149.92</v>
      </c>
      <c r="AB22" s="66">
        <v>20.72</v>
      </c>
      <c r="AC22" s="67">
        <v>39.14</v>
      </c>
      <c r="AD22" s="66">
        <v>20.72</v>
      </c>
      <c r="AE22" s="68"/>
    </row>
    <row r="23" spans="1:31" s="27" customFormat="1" ht="16.5" customHeight="1">
      <c r="A23" s="13" t="s">
        <v>27</v>
      </c>
      <c r="B23" s="61" t="s">
        <v>28</v>
      </c>
      <c r="C23" s="62"/>
      <c r="D23" s="103">
        <f t="shared" si="0"/>
        <v>4493.3712860000005</v>
      </c>
      <c r="E23" s="103">
        <f t="shared" si="1"/>
        <v>21.201114889270958</v>
      </c>
      <c r="F23" s="103">
        <f t="shared" si="8"/>
        <v>4493.3712860000005</v>
      </c>
      <c r="G23" s="103">
        <f t="shared" si="9"/>
        <v>21.201114889270958</v>
      </c>
      <c r="H23" s="63">
        <f>SUM(H24:H26)</f>
        <v>3199.8562847660123</v>
      </c>
      <c r="I23" s="63">
        <f>SUM(I24:I26)</f>
        <v>21.201114889270958</v>
      </c>
      <c r="J23" s="64">
        <f t="shared" si="12"/>
        <v>1</v>
      </c>
      <c r="K23" s="63">
        <f>SUM(K24:K26)</f>
        <v>3199.8562847660123</v>
      </c>
      <c r="L23" s="63">
        <f t="shared" si="4"/>
        <v>21.20111488927096</v>
      </c>
      <c r="M23" s="63">
        <f>SUM(M24:M26)</f>
        <v>1069.7253609533955</v>
      </c>
      <c r="N23" s="63">
        <f t="shared" si="6"/>
        <v>21.201114889270958</v>
      </c>
      <c r="O23" s="64">
        <f t="shared" si="13"/>
        <v>1</v>
      </c>
      <c r="P23" s="63">
        <f>SUM(P24:P26)</f>
        <v>1069.7253609533955</v>
      </c>
      <c r="Q23" s="63">
        <f t="shared" si="7"/>
        <v>21.201114889270958</v>
      </c>
      <c r="R23" s="63">
        <f>SUM(R24:R26)</f>
        <v>223.78964028059298</v>
      </c>
      <c r="S23" s="63">
        <f t="shared" si="10"/>
        <v>21.20111488927096</v>
      </c>
      <c r="T23" s="64">
        <f t="shared" si="14"/>
        <v>1</v>
      </c>
      <c r="U23" s="63">
        <f>SUM(U24:U26)</f>
        <v>223.78964028059298</v>
      </c>
      <c r="V23" s="63">
        <f t="shared" si="11"/>
        <v>21.20111488927096</v>
      </c>
      <c r="W23" s="85">
        <v>1176.43</v>
      </c>
      <c r="X23" s="66">
        <v>19.19</v>
      </c>
      <c r="Y23" s="67">
        <v>1001.34</v>
      </c>
      <c r="Z23" s="66">
        <v>19.19</v>
      </c>
      <c r="AA23" s="67">
        <v>138.85</v>
      </c>
      <c r="AB23" s="66">
        <v>19.19</v>
      </c>
      <c r="AC23" s="67">
        <v>36.25</v>
      </c>
      <c r="AD23" s="66">
        <v>19.19</v>
      </c>
      <c r="AE23" s="68"/>
    </row>
    <row r="24" spans="1:110" s="34" customFormat="1" ht="16.5" customHeight="1">
      <c r="A24" s="28" t="s">
        <v>29</v>
      </c>
      <c r="B24" s="35" t="s">
        <v>46</v>
      </c>
      <c r="C24" s="69" t="s">
        <v>84</v>
      </c>
      <c r="D24" s="104">
        <f t="shared" si="0"/>
        <v>2899.1915600000007</v>
      </c>
      <c r="E24" s="104">
        <f t="shared" si="1"/>
        <v>13.679282088501045</v>
      </c>
      <c r="F24" s="104">
        <f t="shared" si="8"/>
        <v>2899.1915600000007</v>
      </c>
      <c r="G24" s="104">
        <f t="shared" si="9"/>
        <v>13.679282088501045</v>
      </c>
      <c r="H24" s="105">
        <v>2064.595988965106</v>
      </c>
      <c r="I24" s="70">
        <f>H24/$H$50*1000</f>
        <v>13.679282088501044</v>
      </c>
      <c r="J24" s="71">
        <f t="shared" si="12"/>
        <v>1</v>
      </c>
      <c r="K24" s="70">
        <f>H24</f>
        <v>2064.595988965106</v>
      </c>
      <c r="L24" s="70">
        <f t="shared" si="4"/>
        <v>13.679282088501044</v>
      </c>
      <c r="M24" s="105">
        <v>690.2030881927966</v>
      </c>
      <c r="N24" s="70">
        <f t="shared" si="6"/>
        <v>13.679282088501044</v>
      </c>
      <c r="O24" s="71">
        <f t="shared" si="13"/>
        <v>1</v>
      </c>
      <c r="P24" s="70">
        <f>M24</f>
        <v>690.2030881927966</v>
      </c>
      <c r="Q24" s="70">
        <f t="shared" si="7"/>
        <v>13.679282088501044</v>
      </c>
      <c r="R24" s="105">
        <v>144.39248284209808</v>
      </c>
      <c r="S24" s="70">
        <f t="shared" si="10"/>
        <v>13.679282088501044</v>
      </c>
      <c r="T24" s="71">
        <f t="shared" si="14"/>
        <v>1</v>
      </c>
      <c r="U24" s="70">
        <f>R24</f>
        <v>144.39248284209808</v>
      </c>
      <c r="V24" s="70">
        <f t="shared" si="11"/>
        <v>13.679282088501044</v>
      </c>
      <c r="W24" s="76">
        <v>470.75</v>
      </c>
      <c r="X24" s="73">
        <v>7.68</v>
      </c>
      <c r="Y24" s="72">
        <v>400.69</v>
      </c>
      <c r="Z24" s="73">
        <v>7.68</v>
      </c>
      <c r="AA24" s="72">
        <v>55.56</v>
      </c>
      <c r="AB24" s="75">
        <v>7.68</v>
      </c>
      <c r="AC24" s="72">
        <v>14.5</v>
      </c>
      <c r="AD24" s="75">
        <v>7.68</v>
      </c>
      <c r="AE24" s="68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</row>
    <row r="25" spans="1:110" s="34" customFormat="1" ht="16.5" customHeight="1">
      <c r="A25" s="28" t="s">
        <v>31</v>
      </c>
      <c r="B25" s="35" t="s">
        <v>30</v>
      </c>
      <c r="C25" s="69" t="s">
        <v>84</v>
      </c>
      <c r="D25" s="104">
        <f t="shared" si="0"/>
        <v>563.73589</v>
      </c>
      <c r="E25" s="104">
        <f t="shared" si="1"/>
        <v>2.6598802125107577</v>
      </c>
      <c r="F25" s="104">
        <f t="shared" si="8"/>
        <v>563.73589</v>
      </c>
      <c r="G25" s="104">
        <f t="shared" si="9"/>
        <v>2.6598802125107577</v>
      </c>
      <c r="H25" s="105">
        <v>401.45220943236814</v>
      </c>
      <c r="I25" s="70">
        <f>H25/$H$50*1000</f>
        <v>2.6598802125107577</v>
      </c>
      <c r="J25" s="71">
        <f t="shared" si="12"/>
        <v>1</v>
      </c>
      <c r="K25" s="70">
        <f>H25</f>
        <v>401.45220943236814</v>
      </c>
      <c r="L25" s="70">
        <f t="shared" si="4"/>
        <v>2.6598802125107577</v>
      </c>
      <c r="M25" s="105">
        <v>134.2071553916619</v>
      </c>
      <c r="N25" s="70">
        <f t="shared" si="6"/>
        <v>2.6598802125107577</v>
      </c>
      <c r="O25" s="71">
        <f t="shared" si="13"/>
        <v>1</v>
      </c>
      <c r="P25" s="70">
        <f>M25</f>
        <v>134.2071553916619</v>
      </c>
      <c r="Q25" s="70">
        <f t="shared" si="7"/>
        <v>2.6598802125107577</v>
      </c>
      <c r="R25" s="105">
        <v>28.07652517597005</v>
      </c>
      <c r="S25" s="70">
        <f t="shared" si="10"/>
        <v>2.6598802125107577</v>
      </c>
      <c r="T25" s="71">
        <f t="shared" si="14"/>
        <v>1</v>
      </c>
      <c r="U25" s="70">
        <f>R25</f>
        <v>28.07652517597005</v>
      </c>
      <c r="V25" s="70">
        <f t="shared" si="11"/>
        <v>2.6598802125107577</v>
      </c>
      <c r="W25" s="76">
        <v>455.67</v>
      </c>
      <c r="X25" s="73">
        <v>7.43</v>
      </c>
      <c r="Y25" s="72">
        <v>387.85</v>
      </c>
      <c r="Z25" s="73">
        <v>7.43</v>
      </c>
      <c r="AA25" s="72">
        <v>53.78</v>
      </c>
      <c r="AB25" s="75">
        <v>7.43</v>
      </c>
      <c r="AC25" s="72">
        <v>14.04</v>
      </c>
      <c r="AD25" s="75">
        <v>7.43</v>
      </c>
      <c r="AE25" s="68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</row>
    <row r="26" spans="1:110" s="34" customFormat="1" ht="16.5" customHeight="1">
      <c r="A26" s="28" t="s">
        <v>98</v>
      </c>
      <c r="B26" s="35" t="s">
        <v>32</v>
      </c>
      <c r="C26" s="69" t="s">
        <v>84</v>
      </c>
      <c r="D26" s="104">
        <f t="shared" si="0"/>
        <v>1030.443836</v>
      </c>
      <c r="E26" s="104">
        <f t="shared" si="1"/>
        <v>4.861952588259157</v>
      </c>
      <c r="F26" s="104">
        <f t="shared" si="8"/>
        <v>1030.443836</v>
      </c>
      <c r="G26" s="104">
        <f t="shared" si="9"/>
        <v>4.861952588259157</v>
      </c>
      <c r="H26" s="105">
        <v>733.8080863685382</v>
      </c>
      <c r="I26" s="70">
        <f>H26/$H$50*1000</f>
        <v>4.861952588259157</v>
      </c>
      <c r="J26" s="71">
        <f t="shared" si="12"/>
        <v>1</v>
      </c>
      <c r="K26" s="70">
        <f>H26</f>
        <v>733.8080863685382</v>
      </c>
      <c r="L26" s="70">
        <f t="shared" si="4"/>
        <v>4.861952588259157</v>
      </c>
      <c r="M26" s="105">
        <v>245.315117368937</v>
      </c>
      <c r="N26" s="70">
        <f t="shared" si="6"/>
        <v>4.861952588259157</v>
      </c>
      <c r="O26" s="71">
        <f t="shared" si="13"/>
        <v>1</v>
      </c>
      <c r="P26" s="70">
        <f>M26</f>
        <v>245.315117368937</v>
      </c>
      <c r="Q26" s="70">
        <f t="shared" si="7"/>
        <v>4.861952588259157</v>
      </c>
      <c r="R26" s="105">
        <v>51.32063226252483</v>
      </c>
      <c r="S26" s="70">
        <f t="shared" si="10"/>
        <v>4.861952588259157</v>
      </c>
      <c r="T26" s="71">
        <f t="shared" si="14"/>
        <v>1</v>
      </c>
      <c r="U26" s="70">
        <f>R26</f>
        <v>51.32063226252483</v>
      </c>
      <c r="V26" s="70">
        <f t="shared" si="11"/>
        <v>4.861952588259157</v>
      </c>
      <c r="W26" s="76">
        <v>250.01</v>
      </c>
      <c r="X26" s="73">
        <v>4.08</v>
      </c>
      <c r="Y26" s="72">
        <v>212.8</v>
      </c>
      <c r="Z26" s="73">
        <v>4.08</v>
      </c>
      <c r="AA26" s="72">
        <v>29.51</v>
      </c>
      <c r="AB26" s="75">
        <v>4.08</v>
      </c>
      <c r="AC26" s="72">
        <v>7.7</v>
      </c>
      <c r="AD26" s="75">
        <v>4.08</v>
      </c>
      <c r="AE26" s="68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</row>
    <row r="27" spans="1:31" s="27" customFormat="1" ht="18" customHeight="1">
      <c r="A27" s="13" t="s">
        <v>33</v>
      </c>
      <c r="B27" s="61" t="s">
        <v>34</v>
      </c>
      <c r="C27" s="62" t="s">
        <v>84</v>
      </c>
      <c r="D27" s="103">
        <f t="shared" si="0"/>
        <v>812.34161</v>
      </c>
      <c r="E27" s="103">
        <f t="shared" si="1"/>
        <v>3.832878857931381</v>
      </c>
      <c r="F27" s="103">
        <f t="shared" si="8"/>
        <v>812.34161</v>
      </c>
      <c r="G27" s="103">
        <f t="shared" si="9"/>
        <v>3.832878857931381</v>
      </c>
      <c r="H27" s="63">
        <f>SUM(H28:H30)</f>
        <v>578.4913466274909</v>
      </c>
      <c r="I27" s="63">
        <f>SUM(I28:I30)</f>
        <v>3.832878857931381</v>
      </c>
      <c r="J27" s="64">
        <f t="shared" si="12"/>
        <v>1</v>
      </c>
      <c r="K27" s="63">
        <f>SUM(K28:K30)</f>
        <v>578.4913466274909</v>
      </c>
      <c r="L27" s="63">
        <f t="shared" si="4"/>
        <v>3.8328788579313815</v>
      </c>
      <c r="M27" s="63">
        <f>SUM(M28:M30)</f>
        <v>193.39208061488296</v>
      </c>
      <c r="N27" s="63">
        <f t="shared" si="6"/>
        <v>3.832878857931381</v>
      </c>
      <c r="O27" s="64">
        <f t="shared" si="13"/>
        <v>1</v>
      </c>
      <c r="P27" s="63">
        <f>SUM(P28:P30)</f>
        <v>193.39208061488296</v>
      </c>
      <c r="Q27" s="63">
        <f t="shared" si="7"/>
        <v>3.832878857931381</v>
      </c>
      <c r="R27" s="63">
        <f>SUM(R28:R30)</f>
        <v>40.45818275762616</v>
      </c>
      <c r="S27" s="63">
        <f t="shared" si="10"/>
        <v>3.8328788579313806</v>
      </c>
      <c r="T27" s="64">
        <f t="shared" si="14"/>
        <v>1</v>
      </c>
      <c r="U27" s="63">
        <f>SUM(U28:U30)</f>
        <v>40.45818275762616</v>
      </c>
      <c r="V27" s="63">
        <f t="shared" si="11"/>
        <v>3.8328788579313806</v>
      </c>
      <c r="W27" s="85">
        <v>0</v>
      </c>
      <c r="X27" s="66">
        <v>0</v>
      </c>
      <c r="Y27" s="67">
        <v>0</v>
      </c>
      <c r="Z27" s="66">
        <v>0</v>
      </c>
      <c r="AA27" s="67">
        <v>0</v>
      </c>
      <c r="AB27" s="66">
        <v>0</v>
      </c>
      <c r="AC27" s="67">
        <v>0</v>
      </c>
      <c r="AD27" s="66">
        <v>0</v>
      </c>
      <c r="AE27" s="68"/>
    </row>
    <row r="28" spans="1:110" s="34" customFormat="1" ht="16.5" customHeight="1">
      <c r="A28" s="28" t="s">
        <v>35</v>
      </c>
      <c r="B28" s="35" t="s">
        <v>44</v>
      </c>
      <c r="C28" s="69" t="s">
        <v>84</v>
      </c>
      <c r="D28" s="104">
        <f t="shared" si="0"/>
        <v>517.9923872779992</v>
      </c>
      <c r="E28" s="104">
        <f t="shared" si="1"/>
        <v>2.44404822469607</v>
      </c>
      <c r="F28" s="104">
        <f t="shared" si="8"/>
        <v>517.9923872779992</v>
      </c>
      <c r="G28" s="104">
        <f t="shared" si="9"/>
        <v>2.44404822469607</v>
      </c>
      <c r="H28" s="105">
        <v>368.87697240972125</v>
      </c>
      <c r="I28" s="70">
        <f>H28/$H$50*1000</f>
        <v>2.44404822469607</v>
      </c>
      <c r="J28" s="71">
        <f t="shared" si="12"/>
        <v>1</v>
      </c>
      <c r="K28" s="70">
        <f>H28</f>
        <v>368.87697240972125</v>
      </c>
      <c r="L28" s="70">
        <f t="shared" si="4"/>
        <v>2.44404822469607</v>
      </c>
      <c r="M28" s="105">
        <v>123.31711718960513</v>
      </c>
      <c r="N28" s="70">
        <f t="shared" si="6"/>
        <v>2.44404822469607</v>
      </c>
      <c r="O28" s="71">
        <f t="shared" si="13"/>
        <v>1</v>
      </c>
      <c r="P28" s="70">
        <f>M28</f>
        <v>123.31711718960513</v>
      </c>
      <c r="Q28" s="70">
        <f t="shared" si="7"/>
        <v>2.44404822469607</v>
      </c>
      <c r="R28" s="105">
        <v>25.79829767867285</v>
      </c>
      <c r="S28" s="70">
        <f t="shared" si="10"/>
        <v>2.44404822469607</v>
      </c>
      <c r="T28" s="71">
        <f t="shared" si="14"/>
        <v>1</v>
      </c>
      <c r="U28" s="70">
        <f>R28</f>
        <v>25.79829767867285</v>
      </c>
      <c r="V28" s="70">
        <f t="shared" si="11"/>
        <v>2.44404822469607</v>
      </c>
      <c r="W28" s="76">
        <v>0</v>
      </c>
      <c r="X28" s="73">
        <v>0</v>
      </c>
      <c r="Y28" s="74">
        <v>0</v>
      </c>
      <c r="Z28" s="73">
        <v>0</v>
      </c>
      <c r="AA28" s="74">
        <v>0</v>
      </c>
      <c r="AB28" s="75">
        <v>0</v>
      </c>
      <c r="AC28" s="74">
        <v>0</v>
      </c>
      <c r="AD28" s="75">
        <v>0</v>
      </c>
      <c r="AE28" s="68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</row>
    <row r="29" spans="1:110" s="34" customFormat="1" ht="16.5" customHeight="1">
      <c r="A29" s="28" t="s">
        <v>37</v>
      </c>
      <c r="B29" s="35" t="s">
        <v>46</v>
      </c>
      <c r="C29" s="69" t="s">
        <v>84</v>
      </c>
      <c r="D29" s="104">
        <f t="shared" si="0"/>
        <v>191.96797838663284</v>
      </c>
      <c r="E29" s="104">
        <f t="shared" si="1"/>
        <v>0.9057642704747739</v>
      </c>
      <c r="F29" s="104">
        <f t="shared" si="8"/>
        <v>191.96797838663284</v>
      </c>
      <c r="G29" s="104">
        <f t="shared" si="9"/>
        <v>0.9057642704747739</v>
      </c>
      <c r="H29" s="105">
        <v>136.7058057339206</v>
      </c>
      <c r="I29" s="70">
        <f>H29/$H$50*1000</f>
        <v>0.905764270474774</v>
      </c>
      <c r="J29" s="71">
        <f t="shared" si="12"/>
        <v>1</v>
      </c>
      <c r="K29" s="70">
        <f>H29</f>
        <v>136.7058057339206</v>
      </c>
      <c r="L29" s="70">
        <f t="shared" si="4"/>
        <v>0.905764270474774</v>
      </c>
      <c r="M29" s="105">
        <v>45.70132354985954</v>
      </c>
      <c r="N29" s="70">
        <f t="shared" si="6"/>
        <v>0.905764270474774</v>
      </c>
      <c r="O29" s="71">
        <f t="shared" si="13"/>
        <v>1</v>
      </c>
      <c r="P29" s="70">
        <f>M29</f>
        <v>45.70132354985954</v>
      </c>
      <c r="Q29" s="70">
        <f t="shared" si="7"/>
        <v>0.905764270474774</v>
      </c>
      <c r="R29" s="105">
        <v>9.560849102852705</v>
      </c>
      <c r="S29" s="70">
        <f t="shared" si="10"/>
        <v>0.905764270474774</v>
      </c>
      <c r="T29" s="71">
        <f t="shared" si="14"/>
        <v>1</v>
      </c>
      <c r="U29" s="70">
        <f>R29</f>
        <v>9.560849102852705</v>
      </c>
      <c r="V29" s="70">
        <f t="shared" si="11"/>
        <v>0.905764270474774</v>
      </c>
      <c r="W29" s="76">
        <v>0</v>
      </c>
      <c r="X29" s="73">
        <v>0</v>
      </c>
      <c r="Y29" s="74">
        <v>0</v>
      </c>
      <c r="Z29" s="73">
        <v>0</v>
      </c>
      <c r="AA29" s="74">
        <v>0</v>
      </c>
      <c r="AB29" s="75">
        <v>0</v>
      </c>
      <c r="AC29" s="74">
        <v>0</v>
      </c>
      <c r="AD29" s="75">
        <v>0</v>
      </c>
      <c r="AE29" s="68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</row>
    <row r="30" spans="1:110" s="34" customFormat="1" ht="16.5" customHeight="1">
      <c r="A30" s="28" t="s">
        <v>99</v>
      </c>
      <c r="B30" s="35" t="s">
        <v>38</v>
      </c>
      <c r="C30" s="69" t="s">
        <v>84</v>
      </c>
      <c r="D30" s="104">
        <f t="shared" si="0"/>
        <v>102.38124433536788</v>
      </c>
      <c r="E30" s="104">
        <f t="shared" si="1"/>
        <v>0.4830663627605368</v>
      </c>
      <c r="F30" s="104">
        <f t="shared" si="8"/>
        <v>102.38124433536788</v>
      </c>
      <c r="G30" s="104">
        <f t="shared" si="9"/>
        <v>0.4830663627605368</v>
      </c>
      <c r="H30" s="105">
        <v>72.90856848384898</v>
      </c>
      <c r="I30" s="70">
        <f>H30/$H$50*1000</f>
        <v>0.4830663627605369</v>
      </c>
      <c r="J30" s="71">
        <f t="shared" si="12"/>
        <v>1</v>
      </c>
      <c r="K30" s="70">
        <f>H30</f>
        <v>72.90856848384898</v>
      </c>
      <c r="L30" s="70">
        <f t="shared" si="4"/>
        <v>0.4830663627605369</v>
      </c>
      <c r="M30" s="105">
        <v>24.37363987541829</v>
      </c>
      <c r="N30" s="70">
        <f t="shared" si="6"/>
        <v>0.4830663627605368</v>
      </c>
      <c r="O30" s="71">
        <f t="shared" si="13"/>
        <v>1</v>
      </c>
      <c r="P30" s="70">
        <f>M30</f>
        <v>24.37363987541829</v>
      </c>
      <c r="Q30" s="70">
        <f t="shared" si="7"/>
        <v>0.4830663627605368</v>
      </c>
      <c r="R30" s="105">
        <v>5.099035976100612</v>
      </c>
      <c r="S30" s="70">
        <f t="shared" si="10"/>
        <v>0.4830663627605368</v>
      </c>
      <c r="T30" s="71">
        <f t="shared" si="14"/>
        <v>1</v>
      </c>
      <c r="U30" s="70">
        <f>R30</f>
        <v>5.099035976100612</v>
      </c>
      <c r="V30" s="70">
        <f t="shared" si="11"/>
        <v>0.4830663627605368</v>
      </c>
      <c r="W30" s="76">
        <v>0</v>
      </c>
      <c r="X30" s="73">
        <v>0</v>
      </c>
      <c r="Y30" s="74">
        <v>0</v>
      </c>
      <c r="Z30" s="73">
        <v>0</v>
      </c>
      <c r="AA30" s="74">
        <v>0</v>
      </c>
      <c r="AB30" s="75">
        <v>0</v>
      </c>
      <c r="AC30" s="74">
        <v>0</v>
      </c>
      <c r="AD30" s="75">
        <v>0</v>
      </c>
      <c r="AE30" s="68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</row>
    <row r="31" spans="1:31" s="27" customFormat="1" ht="16.5" customHeight="1">
      <c r="A31" s="13" t="s">
        <v>39</v>
      </c>
      <c r="B31" s="61" t="s">
        <v>40</v>
      </c>
      <c r="C31" s="62" t="s">
        <v>84</v>
      </c>
      <c r="D31" s="103">
        <f t="shared" si="0"/>
        <v>2780.71382</v>
      </c>
      <c r="E31" s="103">
        <f t="shared" si="1"/>
        <v>13.120267482833496</v>
      </c>
      <c r="F31" s="103">
        <f t="shared" si="8"/>
        <v>2780.71382</v>
      </c>
      <c r="G31" s="103">
        <f t="shared" si="9"/>
        <v>13.120267482833496</v>
      </c>
      <c r="H31" s="63">
        <f>SUM(H32:H34)</f>
        <v>1980.2246524309817</v>
      </c>
      <c r="I31" s="63">
        <f>SUM(I32:I34)</f>
        <v>13.120267482833494</v>
      </c>
      <c r="J31" s="64">
        <f t="shared" si="12"/>
        <v>1</v>
      </c>
      <c r="K31" s="63">
        <f>SUM(K32:K34)</f>
        <v>1980.2246524309817</v>
      </c>
      <c r="L31" s="63">
        <f t="shared" si="4"/>
        <v>13.120267482833494</v>
      </c>
      <c r="M31" s="63">
        <f>SUM(M32:M34)</f>
        <v>661.9973969379201</v>
      </c>
      <c r="N31" s="63">
        <f t="shared" si="6"/>
        <v>13.120267482833494</v>
      </c>
      <c r="O31" s="64">
        <f t="shared" si="13"/>
        <v>1</v>
      </c>
      <c r="P31" s="63">
        <f>SUM(P32:P34)</f>
        <v>661.9973969379201</v>
      </c>
      <c r="Q31" s="63">
        <f t="shared" si="7"/>
        <v>13.120267482833494</v>
      </c>
      <c r="R31" s="63">
        <f>SUM(R32:R34)</f>
        <v>138.49177063109792</v>
      </c>
      <c r="S31" s="63">
        <f t="shared" si="10"/>
        <v>13.120267482833496</v>
      </c>
      <c r="T31" s="64">
        <f t="shared" si="14"/>
        <v>1</v>
      </c>
      <c r="U31" s="63">
        <f>SUM(U32:U34)</f>
        <v>138.49177063109792</v>
      </c>
      <c r="V31" s="63">
        <f t="shared" si="11"/>
        <v>13.120267482833496</v>
      </c>
      <c r="W31" s="85">
        <v>936.23</v>
      </c>
      <c r="X31" s="66">
        <v>15.27</v>
      </c>
      <c r="Y31" s="67">
        <v>796.89</v>
      </c>
      <c r="Z31" s="66">
        <v>15.27</v>
      </c>
      <c r="AA31" s="67">
        <v>110.5</v>
      </c>
      <c r="AB31" s="66">
        <v>15.27</v>
      </c>
      <c r="AC31" s="67">
        <v>28.85</v>
      </c>
      <c r="AD31" s="66">
        <v>15.27</v>
      </c>
      <c r="AE31" s="68"/>
    </row>
    <row r="32" spans="1:110" s="34" customFormat="1" ht="16.5" customHeight="1">
      <c r="A32" s="28" t="s">
        <v>41</v>
      </c>
      <c r="B32" s="35" t="s">
        <v>44</v>
      </c>
      <c r="C32" s="69" t="s">
        <v>84</v>
      </c>
      <c r="D32" s="104">
        <f t="shared" si="0"/>
        <v>1858.7065539958742</v>
      </c>
      <c r="E32" s="104">
        <f t="shared" si="1"/>
        <v>8.76995215585384</v>
      </c>
      <c r="F32" s="104">
        <f t="shared" si="8"/>
        <v>1858.7065539958742</v>
      </c>
      <c r="G32" s="104">
        <f t="shared" si="9"/>
        <v>8.76995215585384</v>
      </c>
      <c r="H32" s="105">
        <v>1323.6373025461742</v>
      </c>
      <c r="I32" s="70">
        <f aca="true" t="shared" si="15" ref="I32:I47">H32/$H$50*1000</f>
        <v>8.76995215585384</v>
      </c>
      <c r="J32" s="71">
        <f t="shared" si="12"/>
        <v>1</v>
      </c>
      <c r="K32" s="70">
        <f>H32</f>
        <v>1323.6373025461742</v>
      </c>
      <c r="L32" s="70">
        <f t="shared" si="4"/>
        <v>8.76995215585384</v>
      </c>
      <c r="M32" s="105">
        <v>442.4974952714553</v>
      </c>
      <c r="N32" s="70">
        <f t="shared" si="6"/>
        <v>8.76995215585384</v>
      </c>
      <c r="O32" s="71">
        <f t="shared" si="13"/>
        <v>1</v>
      </c>
      <c r="P32" s="70">
        <f>M32</f>
        <v>442.4974952714553</v>
      </c>
      <c r="Q32" s="70">
        <f t="shared" si="7"/>
        <v>8.76995215585384</v>
      </c>
      <c r="R32" s="105">
        <v>92.57175617824456</v>
      </c>
      <c r="S32" s="70">
        <f t="shared" si="10"/>
        <v>8.76995215585384</v>
      </c>
      <c r="T32" s="71">
        <f t="shared" si="14"/>
        <v>1</v>
      </c>
      <c r="U32" s="70">
        <f>R32</f>
        <v>92.57175617824456</v>
      </c>
      <c r="V32" s="70">
        <f t="shared" si="11"/>
        <v>8.76995215585384</v>
      </c>
      <c r="W32" s="76">
        <v>577.83</v>
      </c>
      <c r="X32" s="73">
        <v>9.43</v>
      </c>
      <c r="Y32" s="74">
        <v>491.83</v>
      </c>
      <c r="Z32" s="73">
        <v>9.43</v>
      </c>
      <c r="AA32" s="74">
        <v>68.2</v>
      </c>
      <c r="AB32" s="75">
        <v>9.43</v>
      </c>
      <c r="AC32" s="74">
        <v>17.8</v>
      </c>
      <c r="AD32" s="75">
        <v>9.43</v>
      </c>
      <c r="AE32" s="68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</row>
    <row r="33" spans="1:110" s="34" customFormat="1" ht="16.5" customHeight="1">
      <c r="A33" s="28" t="s">
        <v>42</v>
      </c>
      <c r="B33" s="35" t="s">
        <v>46</v>
      </c>
      <c r="C33" s="69" t="s">
        <v>84</v>
      </c>
      <c r="D33" s="104">
        <f t="shared" si="0"/>
        <v>688.8366518363197</v>
      </c>
      <c r="E33" s="104">
        <f t="shared" si="1"/>
        <v>3.2501442827626046</v>
      </c>
      <c r="F33" s="104">
        <f t="shared" si="8"/>
        <v>688.8366518363197</v>
      </c>
      <c r="G33" s="104">
        <f t="shared" si="9"/>
        <v>3.2501442827626046</v>
      </c>
      <c r="H33" s="105">
        <v>490.5399864069067</v>
      </c>
      <c r="I33" s="70">
        <f t="shared" si="15"/>
        <v>3.250144282762605</v>
      </c>
      <c r="J33" s="71">
        <f t="shared" si="12"/>
        <v>1</v>
      </c>
      <c r="K33" s="70">
        <f>H33</f>
        <v>490.5399864069067</v>
      </c>
      <c r="L33" s="70">
        <f t="shared" si="4"/>
        <v>3.250144282762605</v>
      </c>
      <c r="M33" s="105">
        <v>163.98957244405543</v>
      </c>
      <c r="N33" s="70">
        <f t="shared" si="6"/>
        <v>3.250144282762605</v>
      </c>
      <c r="O33" s="71">
        <f t="shared" si="13"/>
        <v>1</v>
      </c>
      <c r="P33" s="70">
        <f>M33</f>
        <v>163.98957244405543</v>
      </c>
      <c r="Q33" s="70">
        <f t="shared" si="7"/>
        <v>3.250144282762605</v>
      </c>
      <c r="R33" s="105">
        <v>34.30709298535764</v>
      </c>
      <c r="S33" s="70">
        <f t="shared" si="10"/>
        <v>3.250144282762605</v>
      </c>
      <c r="T33" s="71">
        <f t="shared" si="14"/>
        <v>1</v>
      </c>
      <c r="U33" s="70">
        <f>R33</f>
        <v>34.30709298535764</v>
      </c>
      <c r="V33" s="70">
        <f t="shared" si="11"/>
        <v>3.250144282762605</v>
      </c>
      <c r="W33" s="76">
        <v>214.14</v>
      </c>
      <c r="X33" s="73">
        <v>3.49</v>
      </c>
      <c r="Y33" s="74">
        <v>182.27</v>
      </c>
      <c r="Z33" s="73">
        <v>3.49</v>
      </c>
      <c r="AA33" s="74">
        <v>25.27</v>
      </c>
      <c r="AB33" s="75">
        <v>3.49</v>
      </c>
      <c r="AC33" s="74">
        <v>6.6</v>
      </c>
      <c r="AD33" s="75">
        <v>3.49</v>
      </c>
      <c r="AE33" s="68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</row>
    <row r="34" spans="1:110" s="34" customFormat="1" ht="16.5" customHeight="1">
      <c r="A34" s="28" t="s">
        <v>100</v>
      </c>
      <c r="B34" s="35" t="s">
        <v>38</v>
      </c>
      <c r="C34" s="69" t="s">
        <v>84</v>
      </c>
      <c r="D34" s="104">
        <f t="shared" si="0"/>
        <v>233.17061416780598</v>
      </c>
      <c r="E34" s="104">
        <f t="shared" si="1"/>
        <v>1.1001710442170491</v>
      </c>
      <c r="F34" s="104">
        <f t="shared" si="8"/>
        <v>233.17061416780598</v>
      </c>
      <c r="G34" s="104">
        <f t="shared" si="9"/>
        <v>1.1001710442170491</v>
      </c>
      <c r="H34" s="105">
        <v>166.04736347790086</v>
      </c>
      <c r="I34" s="70">
        <f t="shared" si="15"/>
        <v>1.1001710442170491</v>
      </c>
      <c r="J34" s="71">
        <f t="shared" si="12"/>
        <v>1</v>
      </c>
      <c r="K34" s="70">
        <f>H34</f>
        <v>166.04736347790086</v>
      </c>
      <c r="L34" s="70">
        <f t="shared" si="4"/>
        <v>1.1001710442170491</v>
      </c>
      <c r="M34" s="105">
        <v>55.5103292224094</v>
      </c>
      <c r="N34" s="70">
        <f t="shared" si="6"/>
        <v>1.1001710442170491</v>
      </c>
      <c r="O34" s="71">
        <f t="shared" si="13"/>
        <v>1</v>
      </c>
      <c r="P34" s="70">
        <f>M34</f>
        <v>55.5103292224094</v>
      </c>
      <c r="Q34" s="70">
        <f t="shared" si="7"/>
        <v>1.1001710442170491</v>
      </c>
      <c r="R34" s="105">
        <v>11.612921467495715</v>
      </c>
      <c r="S34" s="70">
        <f t="shared" si="10"/>
        <v>1.1001710442170491</v>
      </c>
      <c r="T34" s="71">
        <f t="shared" si="14"/>
        <v>1</v>
      </c>
      <c r="U34" s="70">
        <f>R34</f>
        <v>11.612921467495715</v>
      </c>
      <c r="V34" s="70">
        <f t="shared" si="11"/>
        <v>1.1001710442170491</v>
      </c>
      <c r="W34" s="76">
        <v>144.26</v>
      </c>
      <c r="X34" s="73">
        <v>2.35</v>
      </c>
      <c r="Y34" s="74">
        <v>122.79</v>
      </c>
      <c r="Z34" s="73">
        <v>2.35</v>
      </c>
      <c r="AA34" s="74">
        <v>17.03</v>
      </c>
      <c r="AB34" s="75">
        <v>2.35</v>
      </c>
      <c r="AC34" s="74">
        <v>4.44</v>
      </c>
      <c r="AD34" s="75">
        <v>2.35</v>
      </c>
      <c r="AE34" s="68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</row>
    <row r="35" spans="1:31" s="27" customFormat="1" ht="16.5" customHeight="1">
      <c r="A35" s="13">
        <v>3</v>
      </c>
      <c r="B35" s="61" t="s">
        <v>49</v>
      </c>
      <c r="C35" s="62" t="s">
        <v>84</v>
      </c>
      <c r="D35" s="103">
        <f t="shared" si="0"/>
        <v>0</v>
      </c>
      <c r="E35" s="103">
        <f t="shared" si="1"/>
        <v>0</v>
      </c>
      <c r="F35" s="103">
        <f t="shared" si="8"/>
        <v>0</v>
      </c>
      <c r="G35" s="103">
        <f t="shared" si="9"/>
        <v>0</v>
      </c>
      <c r="H35" s="63">
        <f>SUM(H36:H38)</f>
        <v>0</v>
      </c>
      <c r="I35" s="63">
        <f t="shared" si="15"/>
        <v>0</v>
      </c>
      <c r="J35" s="64">
        <f t="shared" si="12"/>
        <v>0</v>
      </c>
      <c r="K35" s="63">
        <f>SUM(K36:K38)</f>
        <v>0</v>
      </c>
      <c r="L35" s="63">
        <f t="shared" si="4"/>
        <v>0</v>
      </c>
      <c r="M35" s="63">
        <f>SUM(M36:M38)</f>
        <v>0</v>
      </c>
      <c r="N35" s="63">
        <f t="shared" si="6"/>
        <v>0</v>
      </c>
      <c r="O35" s="64">
        <f t="shared" si="13"/>
        <v>0</v>
      </c>
      <c r="P35" s="63">
        <f>SUM(P36:P38)</f>
        <v>0</v>
      </c>
      <c r="Q35" s="63">
        <f t="shared" si="7"/>
        <v>0</v>
      </c>
      <c r="R35" s="63">
        <f>SUM(R36:R38)</f>
        <v>0</v>
      </c>
      <c r="S35" s="63">
        <f t="shared" si="10"/>
        <v>0</v>
      </c>
      <c r="T35" s="64">
        <f t="shared" si="14"/>
        <v>0</v>
      </c>
      <c r="U35" s="63">
        <f>SUM(U36:U38)</f>
        <v>0</v>
      </c>
      <c r="V35" s="63">
        <f t="shared" si="11"/>
        <v>0</v>
      </c>
      <c r="W35" s="85">
        <v>0</v>
      </c>
      <c r="X35" s="66">
        <v>0</v>
      </c>
      <c r="Y35" s="67">
        <v>0</v>
      </c>
      <c r="Z35" s="66">
        <v>0</v>
      </c>
      <c r="AA35" s="67">
        <v>0</v>
      </c>
      <c r="AB35" s="66">
        <v>0</v>
      </c>
      <c r="AC35" s="67">
        <v>0</v>
      </c>
      <c r="AD35" s="66">
        <v>0</v>
      </c>
      <c r="AE35" s="68"/>
    </row>
    <row r="36" spans="1:110" ht="16.5" customHeight="1" hidden="1">
      <c r="A36" s="28" t="s">
        <v>43</v>
      </c>
      <c r="B36" s="35" t="s">
        <v>44</v>
      </c>
      <c r="C36" s="69" t="s">
        <v>84</v>
      </c>
      <c r="D36" s="104">
        <f t="shared" si="0"/>
        <v>0</v>
      </c>
      <c r="E36" s="104">
        <f t="shared" si="1"/>
        <v>0</v>
      </c>
      <c r="F36" s="104">
        <f t="shared" si="8"/>
        <v>0</v>
      </c>
      <c r="G36" s="104">
        <f t="shared" si="9"/>
        <v>0</v>
      </c>
      <c r="H36" s="63">
        <v>0</v>
      </c>
      <c r="I36" s="63">
        <f t="shared" si="15"/>
        <v>0</v>
      </c>
      <c r="J36" s="64">
        <f t="shared" si="12"/>
        <v>0</v>
      </c>
      <c r="K36" s="63">
        <v>0</v>
      </c>
      <c r="L36" s="63">
        <f t="shared" si="4"/>
        <v>0</v>
      </c>
      <c r="M36" s="63">
        <v>0</v>
      </c>
      <c r="N36" s="63">
        <f t="shared" si="6"/>
        <v>0</v>
      </c>
      <c r="O36" s="64">
        <f t="shared" si="13"/>
        <v>0</v>
      </c>
      <c r="P36" s="63">
        <v>0</v>
      </c>
      <c r="Q36" s="63">
        <f t="shared" si="7"/>
        <v>0</v>
      </c>
      <c r="R36" s="63">
        <v>0</v>
      </c>
      <c r="S36" s="63">
        <f t="shared" si="10"/>
        <v>0</v>
      </c>
      <c r="T36" s="64">
        <f t="shared" si="14"/>
        <v>0</v>
      </c>
      <c r="U36" s="63">
        <v>0</v>
      </c>
      <c r="V36" s="63">
        <f t="shared" si="11"/>
        <v>0</v>
      </c>
      <c r="W36" s="76">
        <v>0</v>
      </c>
      <c r="X36" s="73">
        <v>0</v>
      </c>
      <c r="Y36" s="74">
        <v>0</v>
      </c>
      <c r="Z36" s="73">
        <v>0</v>
      </c>
      <c r="AA36" s="74">
        <v>0</v>
      </c>
      <c r="AB36" s="75">
        <v>0</v>
      </c>
      <c r="AC36" s="74">
        <v>0</v>
      </c>
      <c r="AD36" s="75">
        <v>0</v>
      </c>
      <c r="AE36" s="68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</row>
    <row r="37" spans="1:110" ht="16.5" customHeight="1" hidden="1">
      <c r="A37" s="28" t="s">
        <v>45</v>
      </c>
      <c r="B37" s="35" t="s">
        <v>46</v>
      </c>
      <c r="C37" s="69" t="s">
        <v>84</v>
      </c>
      <c r="D37" s="104">
        <f t="shared" si="0"/>
        <v>0</v>
      </c>
      <c r="E37" s="104">
        <f t="shared" si="1"/>
        <v>0</v>
      </c>
      <c r="F37" s="104">
        <f t="shared" si="8"/>
        <v>0</v>
      </c>
      <c r="G37" s="104">
        <f t="shared" si="9"/>
        <v>0</v>
      </c>
      <c r="H37" s="63">
        <v>0</v>
      </c>
      <c r="I37" s="63">
        <f t="shared" si="15"/>
        <v>0</v>
      </c>
      <c r="J37" s="64">
        <f t="shared" si="12"/>
        <v>0</v>
      </c>
      <c r="K37" s="63">
        <v>0</v>
      </c>
      <c r="L37" s="63">
        <f t="shared" si="4"/>
        <v>0</v>
      </c>
      <c r="M37" s="63">
        <v>0</v>
      </c>
      <c r="N37" s="63">
        <f t="shared" si="6"/>
        <v>0</v>
      </c>
      <c r="O37" s="64">
        <f t="shared" si="13"/>
        <v>0</v>
      </c>
      <c r="P37" s="63">
        <v>0</v>
      </c>
      <c r="Q37" s="63">
        <f t="shared" si="7"/>
        <v>0</v>
      </c>
      <c r="R37" s="63">
        <v>0</v>
      </c>
      <c r="S37" s="63">
        <f t="shared" si="10"/>
        <v>0</v>
      </c>
      <c r="T37" s="64">
        <f t="shared" si="14"/>
        <v>0</v>
      </c>
      <c r="U37" s="63">
        <v>0</v>
      </c>
      <c r="V37" s="63">
        <f t="shared" si="11"/>
        <v>0</v>
      </c>
      <c r="W37" s="76">
        <v>0</v>
      </c>
      <c r="X37" s="73">
        <v>0</v>
      </c>
      <c r="Y37" s="74">
        <v>0</v>
      </c>
      <c r="Z37" s="73">
        <v>0</v>
      </c>
      <c r="AA37" s="74">
        <v>0</v>
      </c>
      <c r="AB37" s="75">
        <v>0</v>
      </c>
      <c r="AC37" s="74">
        <v>0</v>
      </c>
      <c r="AD37" s="75">
        <v>0</v>
      </c>
      <c r="AE37" s="68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</row>
    <row r="38" spans="1:110" ht="16.5" customHeight="1" hidden="1">
      <c r="A38" s="28" t="s">
        <v>47</v>
      </c>
      <c r="B38" s="35" t="s">
        <v>38</v>
      </c>
      <c r="C38" s="69" t="s">
        <v>84</v>
      </c>
      <c r="D38" s="104">
        <f t="shared" si="0"/>
        <v>0</v>
      </c>
      <c r="E38" s="104">
        <f t="shared" si="1"/>
        <v>0</v>
      </c>
      <c r="F38" s="104">
        <f t="shared" si="8"/>
        <v>0</v>
      </c>
      <c r="G38" s="104">
        <f t="shared" si="9"/>
        <v>0</v>
      </c>
      <c r="H38" s="63">
        <v>0</v>
      </c>
      <c r="I38" s="63">
        <f t="shared" si="15"/>
        <v>0</v>
      </c>
      <c r="J38" s="64">
        <f t="shared" si="12"/>
        <v>0</v>
      </c>
      <c r="K38" s="63">
        <v>0</v>
      </c>
      <c r="L38" s="63">
        <f t="shared" si="4"/>
        <v>0</v>
      </c>
      <c r="M38" s="63">
        <v>0</v>
      </c>
      <c r="N38" s="63">
        <f t="shared" si="6"/>
        <v>0</v>
      </c>
      <c r="O38" s="64">
        <f t="shared" si="13"/>
        <v>0</v>
      </c>
      <c r="P38" s="63">
        <v>0</v>
      </c>
      <c r="Q38" s="63">
        <f t="shared" si="7"/>
        <v>0</v>
      </c>
      <c r="R38" s="63">
        <v>0</v>
      </c>
      <c r="S38" s="63">
        <f t="shared" si="10"/>
        <v>0</v>
      </c>
      <c r="T38" s="64">
        <f t="shared" si="14"/>
        <v>0</v>
      </c>
      <c r="U38" s="63">
        <v>0</v>
      </c>
      <c r="V38" s="63">
        <f t="shared" si="11"/>
        <v>0</v>
      </c>
      <c r="W38" s="76">
        <v>0</v>
      </c>
      <c r="X38" s="73">
        <v>0</v>
      </c>
      <c r="Y38" s="74">
        <v>0</v>
      </c>
      <c r="Z38" s="73">
        <v>0</v>
      </c>
      <c r="AA38" s="74">
        <v>0</v>
      </c>
      <c r="AB38" s="75">
        <v>0</v>
      </c>
      <c r="AC38" s="74">
        <v>0</v>
      </c>
      <c r="AD38" s="75">
        <v>0</v>
      </c>
      <c r="AE38" s="68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</row>
    <row r="39" spans="1:31" s="27" customFormat="1" ht="16.5" customHeight="1">
      <c r="A39" s="13">
        <v>4</v>
      </c>
      <c r="B39" s="61" t="s">
        <v>50</v>
      </c>
      <c r="C39" s="62" t="s">
        <v>84</v>
      </c>
      <c r="D39" s="103">
        <f t="shared" si="0"/>
        <v>0</v>
      </c>
      <c r="E39" s="103">
        <f t="shared" si="1"/>
        <v>0</v>
      </c>
      <c r="F39" s="103">
        <f t="shared" si="8"/>
        <v>0</v>
      </c>
      <c r="G39" s="103">
        <f t="shared" si="9"/>
        <v>0</v>
      </c>
      <c r="H39" s="107">
        <v>0</v>
      </c>
      <c r="I39" s="63">
        <f t="shared" si="15"/>
        <v>0</v>
      </c>
      <c r="J39" s="64">
        <f t="shared" si="12"/>
        <v>0</v>
      </c>
      <c r="K39" s="63">
        <f>H39</f>
        <v>0</v>
      </c>
      <c r="L39" s="63">
        <f t="shared" si="4"/>
        <v>0</v>
      </c>
      <c r="M39" s="107">
        <v>0</v>
      </c>
      <c r="N39" s="63">
        <f t="shared" si="6"/>
        <v>0</v>
      </c>
      <c r="O39" s="64">
        <f t="shared" si="13"/>
        <v>0</v>
      </c>
      <c r="P39" s="63">
        <f>M39</f>
        <v>0</v>
      </c>
      <c r="Q39" s="63">
        <f t="shared" si="7"/>
        <v>0</v>
      </c>
      <c r="R39" s="107">
        <v>0</v>
      </c>
      <c r="S39" s="63">
        <f t="shared" si="10"/>
        <v>0</v>
      </c>
      <c r="T39" s="64">
        <f t="shared" si="14"/>
        <v>0</v>
      </c>
      <c r="U39" s="63">
        <f>R39</f>
        <v>0</v>
      </c>
      <c r="V39" s="63">
        <f t="shared" si="11"/>
        <v>0</v>
      </c>
      <c r="W39" s="85">
        <v>0</v>
      </c>
      <c r="X39" s="66">
        <v>0</v>
      </c>
      <c r="Y39" s="67">
        <v>0</v>
      </c>
      <c r="Z39" s="66">
        <v>0</v>
      </c>
      <c r="AA39" s="67">
        <v>0</v>
      </c>
      <c r="AB39" s="66">
        <v>0</v>
      </c>
      <c r="AC39" s="67">
        <v>0</v>
      </c>
      <c r="AD39" s="66">
        <v>0</v>
      </c>
      <c r="AE39" s="68"/>
    </row>
    <row r="40" spans="1:31" s="27" customFormat="1" ht="16.5" customHeight="1">
      <c r="A40" s="13">
        <v>5</v>
      </c>
      <c r="B40" s="61" t="s">
        <v>51</v>
      </c>
      <c r="C40" s="62" t="s">
        <v>84</v>
      </c>
      <c r="D40" s="103">
        <f t="shared" si="0"/>
        <v>0</v>
      </c>
      <c r="E40" s="103">
        <f t="shared" si="1"/>
        <v>0</v>
      </c>
      <c r="F40" s="103">
        <f t="shared" si="8"/>
        <v>0</v>
      </c>
      <c r="G40" s="103">
        <f t="shared" si="9"/>
        <v>0</v>
      </c>
      <c r="H40" s="107">
        <v>0</v>
      </c>
      <c r="I40" s="63">
        <f t="shared" si="15"/>
        <v>0</v>
      </c>
      <c r="J40" s="64">
        <f t="shared" si="12"/>
        <v>0</v>
      </c>
      <c r="K40" s="63">
        <f>H40</f>
        <v>0</v>
      </c>
      <c r="L40" s="63">
        <f t="shared" si="4"/>
        <v>0</v>
      </c>
      <c r="M40" s="107">
        <v>0</v>
      </c>
      <c r="N40" s="63">
        <f t="shared" si="6"/>
        <v>0</v>
      </c>
      <c r="O40" s="64">
        <f t="shared" si="13"/>
        <v>0</v>
      </c>
      <c r="P40" s="63">
        <f>M40</f>
        <v>0</v>
      </c>
      <c r="Q40" s="63">
        <f t="shared" si="7"/>
        <v>0</v>
      </c>
      <c r="R40" s="107">
        <v>0</v>
      </c>
      <c r="S40" s="63">
        <f t="shared" si="10"/>
        <v>0</v>
      </c>
      <c r="T40" s="64">
        <f t="shared" si="14"/>
        <v>0</v>
      </c>
      <c r="U40" s="63">
        <f>R40</f>
        <v>0</v>
      </c>
      <c r="V40" s="63">
        <f t="shared" si="11"/>
        <v>0</v>
      </c>
      <c r="W40" s="85">
        <v>0</v>
      </c>
      <c r="X40" s="66">
        <v>0</v>
      </c>
      <c r="Y40" s="67">
        <v>0</v>
      </c>
      <c r="Z40" s="66">
        <v>0</v>
      </c>
      <c r="AA40" s="67">
        <v>0</v>
      </c>
      <c r="AB40" s="66">
        <v>0</v>
      </c>
      <c r="AC40" s="67">
        <v>0</v>
      </c>
      <c r="AD40" s="66">
        <v>0</v>
      </c>
      <c r="AE40" s="68"/>
    </row>
    <row r="41" spans="1:31" s="27" customFormat="1" ht="16.5" customHeight="1">
      <c r="A41" s="13">
        <v>6</v>
      </c>
      <c r="B41" s="61" t="s">
        <v>52</v>
      </c>
      <c r="C41" s="62" t="s">
        <v>84</v>
      </c>
      <c r="D41" s="103">
        <f t="shared" si="0"/>
        <v>88644.662776</v>
      </c>
      <c r="E41" s="103">
        <f t="shared" si="1"/>
        <v>418.2529241886148</v>
      </c>
      <c r="F41" s="103">
        <f t="shared" si="8"/>
        <v>79706.79868269443</v>
      </c>
      <c r="G41" s="103">
        <f aca="true" t="shared" si="16" ref="G41:G47">ROUND(F41/$D$50*1000,2)</f>
        <v>376.08</v>
      </c>
      <c r="H41" s="63">
        <f>H31+H8</f>
        <v>44278.158012398184</v>
      </c>
      <c r="I41" s="63">
        <f t="shared" si="15"/>
        <v>293.371399076691</v>
      </c>
      <c r="J41" s="64">
        <f>K41/H41</f>
        <v>1</v>
      </c>
      <c r="K41" s="63">
        <f>K31+K8</f>
        <v>44278.158012398184</v>
      </c>
      <c r="L41" s="63">
        <f t="shared" si="4"/>
        <v>293.371399076691</v>
      </c>
      <c r="M41" s="63">
        <f>M31+M8</f>
        <v>36690.70282735465</v>
      </c>
      <c r="N41" s="63">
        <f t="shared" si="6"/>
        <v>727.1808581948117</v>
      </c>
      <c r="O41" s="64">
        <f>P41/M41</f>
        <v>0.7729166095386819</v>
      </c>
      <c r="P41" s="63">
        <f>P31+P8</f>
        <v>28358.85363091029</v>
      </c>
      <c r="Q41" s="63">
        <f t="shared" si="7"/>
        <v>562.0501634373629</v>
      </c>
      <c r="R41" s="63">
        <f>R31+R8</f>
        <v>7675.801936247172</v>
      </c>
      <c r="S41" s="63">
        <f t="shared" si="10"/>
        <v>727.1809298840775</v>
      </c>
      <c r="T41" s="64">
        <f>U41/R41</f>
        <v>0.9210486536918757</v>
      </c>
      <c r="U41" s="63">
        <f>U31+U8</f>
        <v>7069.787039385951</v>
      </c>
      <c r="V41" s="63">
        <f t="shared" si="11"/>
        <v>669.7690164601358</v>
      </c>
      <c r="W41" s="85">
        <v>19399.56</v>
      </c>
      <c r="X41" s="66">
        <v>316.46</v>
      </c>
      <c r="Y41" s="67">
        <v>13189.5</v>
      </c>
      <c r="Z41" s="66">
        <v>252.78</v>
      </c>
      <c r="AA41" s="67">
        <v>4924.47</v>
      </c>
      <c r="AB41" s="66">
        <v>680.64</v>
      </c>
      <c r="AC41" s="67">
        <v>1285.59</v>
      </c>
      <c r="AD41" s="66">
        <v>680.64</v>
      </c>
      <c r="AE41" s="68"/>
    </row>
    <row r="42" spans="1:31" s="27" customFormat="1" ht="18.75" customHeight="1">
      <c r="A42" s="13">
        <v>7</v>
      </c>
      <c r="B42" s="39" t="s">
        <v>54</v>
      </c>
      <c r="C42" s="62" t="s">
        <v>84</v>
      </c>
      <c r="D42" s="103">
        <f t="shared" si="0"/>
        <v>0</v>
      </c>
      <c r="E42" s="103">
        <f t="shared" si="1"/>
        <v>0</v>
      </c>
      <c r="F42" s="103">
        <f t="shared" si="8"/>
        <v>2125.7184402177745</v>
      </c>
      <c r="G42" s="103">
        <f t="shared" si="16"/>
        <v>10.03</v>
      </c>
      <c r="H42" s="63">
        <f>SUM(H43:H47)</f>
        <v>0</v>
      </c>
      <c r="I42" s="63">
        <f t="shared" si="15"/>
        <v>0</v>
      </c>
      <c r="J42" s="64">
        <f>IF(H42=0,0,K42/H42)</f>
        <v>0</v>
      </c>
      <c r="K42" s="63">
        <f>SUM(K43:K47)</f>
        <v>0</v>
      </c>
      <c r="L42" s="63">
        <f t="shared" si="4"/>
        <v>0</v>
      </c>
      <c r="M42" s="63">
        <f>SUM(M43:M47)</f>
        <v>0</v>
      </c>
      <c r="N42" s="63">
        <f t="shared" si="6"/>
        <v>0</v>
      </c>
      <c r="O42" s="64">
        <f>IF(M42=0,0,P42/M42)</f>
        <v>0</v>
      </c>
      <c r="P42" s="63">
        <f>SUM(P43:P47)</f>
        <v>1701.5312178546174</v>
      </c>
      <c r="Q42" s="63">
        <f t="shared" si="7"/>
        <v>33.72300980624177</v>
      </c>
      <c r="R42" s="63">
        <f>SUM(R43:R47)</f>
        <v>0</v>
      </c>
      <c r="S42" s="63">
        <f t="shared" si="10"/>
        <v>0</v>
      </c>
      <c r="T42" s="64">
        <f>IF(R42=0,0,U42/R42)</f>
        <v>0</v>
      </c>
      <c r="U42" s="63">
        <f>SUM(U43:U47)</f>
        <v>424.18722236315705</v>
      </c>
      <c r="V42" s="63">
        <f t="shared" si="11"/>
        <v>40.18614098760815</v>
      </c>
      <c r="W42" s="85">
        <v>0</v>
      </c>
      <c r="X42" s="66">
        <v>0</v>
      </c>
      <c r="Y42" s="67">
        <v>0</v>
      </c>
      <c r="Z42" s="66">
        <v>0</v>
      </c>
      <c r="AA42" s="67">
        <v>0</v>
      </c>
      <c r="AB42" s="66">
        <v>0</v>
      </c>
      <c r="AC42" s="67">
        <v>0</v>
      </c>
      <c r="AD42" s="66">
        <v>0</v>
      </c>
      <c r="AE42" s="68"/>
    </row>
    <row r="43" spans="1:110" ht="16.5" customHeight="1">
      <c r="A43" s="28" t="s">
        <v>101</v>
      </c>
      <c r="B43" s="35" t="s">
        <v>56</v>
      </c>
      <c r="C43" s="69" t="s">
        <v>84</v>
      </c>
      <c r="D43" s="104">
        <f t="shared" si="0"/>
        <v>0</v>
      </c>
      <c r="E43" s="104">
        <f t="shared" si="1"/>
        <v>0</v>
      </c>
      <c r="F43" s="104">
        <f t="shared" si="8"/>
        <v>0</v>
      </c>
      <c r="G43" s="104">
        <f t="shared" si="16"/>
        <v>0</v>
      </c>
      <c r="H43" s="105">
        <v>0</v>
      </c>
      <c r="I43" s="70">
        <f t="shared" si="15"/>
        <v>0</v>
      </c>
      <c r="J43" s="71">
        <f>IF(H43=0,0,1)</f>
        <v>0</v>
      </c>
      <c r="K43" s="70">
        <f>H43</f>
        <v>0</v>
      </c>
      <c r="L43" s="70">
        <f t="shared" si="4"/>
        <v>0</v>
      </c>
      <c r="M43" s="105">
        <v>0</v>
      </c>
      <c r="N43" s="70">
        <f t="shared" si="6"/>
        <v>0</v>
      </c>
      <c r="O43" s="71">
        <f>IF(M43=0,0,1)</f>
        <v>0</v>
      </c>
      <c r="P43" s="70">
        <f>M43</f>
        <v>0</v>
      </c>
      <c r="Q43" s="70">
        <f t="shared" si="7"/>
        <v>0</v>
      </c>
      <c r="R43" s="105">
        <v>0</v>
      </c>
      <c r="S43" s="70">
        <f t="shared" si="10"/>
        <v>0</v>
      </c>
      <c r="T43" s="71">
        <f>IF(R43=0,0,1)</f>
        <v>0</v>
      </c>
      <c r="U43" s="70">
        <f>R43</f>
        <v>0</v>
      </c>
      <c r="V43" s="70">
        <f t="shared" si="11"/>
        <v>0</v>
      </c>
      <c r="W43" s="76">
        <v>0</v>
      </c>
      <c r="X43" s="73">
        <v>0</v>
      </c>
      <c r="Y43" s="74">
        <v>0</v>
      </c>
      <c r="Z43" s="73">
        <v>0</v>
      </c>
      <c r="AA43" s="74">
        <v>0</v>
      </c>
      <c r="AB43" s="75">
        <v>0</v>
      </c>
      <c r="AC43" s="74">
        <v>0</v>
      </c>
      <c r="AD43" s="75">
        <v>0</v>
      </c>
      <c r="AE43" s="68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</row>
    <row r="44" spans="1:110" ht="16.5" customHeight="1" hidden="1">
      <c r="A44" s="28" t="s">
        <v>57</v>
      </c>
      <c r="B44" s="35" t="s">
        <v>58</v>
      </c>
      <c r="C44" s="69" t="s">
        <v>84</v>
      </c>
      <c r="D44" s="104">
        <f t="shared" si="0"/>
        <v>0</v>
      </c>
      <c r="E44" s="104">
        <f t="shared" si="1"/>
        <v>0</v>
      </c>
      <c r="F44" s="104">
        <f t="shared" si="8"/>
        <v>0</v>
      </c>
      <c r="G44" s="104">
        <f t="shared" si="16"/>
        <v>0</v>
      </c>
      <c r="H44" s="105">
        <v>0</v>
      </c>
      <c r="I44" s="70">
        <f t="shared" si="15"/>
        <v>0</v>
      </c>
      <c r="J44" s="71">
        <f>IF(H44=0,0,1)</f>
        <v>0</v>
      </c>
      <c r="K44" s="70">
        <v>0</v>
      </c>
      <c r="L44" s="70">
        <f t="shared" si="4"/>
        <v>0</v>
      </c>
      <c r="M44" s="105">
        <v>0</v>
      </c>
      <c r="N44" s="70">
        <f t="shared" si="6"/>
        <v>0</v>
      </c>
      <c r="O44" s="71">
        <f>IF(M44=0,0,1)</f>
        <v>0</v>
      </c>
      <c r="P44" s="70">
        <f>M44</f>
        <v>0</v>
      </c>
      <c r="Q44" s="70">
        <f t="shared" si="7"/>
        <v>0</v>
      </c>
      <c r="R44" s="105">
        <v>0</v>
      </c>
      <c r="S44" s="70">
        <f t="shared" si="10"/>
        <v>0</v>
      </c>
      <c r="T44" s="71">
        <f>IF(R44=0,0,1)</f>
        <v>0</v>
      </c>
      <c r="U44" s="70">
        <f>R44</f>
        <v>0</v>
      </c>
      <c r="V44" s="70">
        <f t="shared" si="11"/>
        <v>0</v>
      </c>
      <c r="W44" s="76">
        <v>0</v>
      </c>
      <c r="X44" s="73">
        <v>0</v>
      </c>
      <c r="Y44" s="74">
        <v>0</v>
      </c>
      <c r="Z44" s="73">
        <v>0</v>
      </c>
      <c r="AA44" s="74">
        <v>0</v>
      </c>
      <c r="AB44" s="75">
        <v>0</v>
      </c>
      <c r="AC44" s="74">
        <v>0</v>
      </c>
      <c r="AD44" s="75">
        <v>0</v>
      </c>
      <c r="AE44" s="68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</row>
    <row r="45" spans="1:110" ht="16.5" customHeight="1">
      <c r="A45" s="28" t="s">
        <v>57</v>
      </c>
      <c r="B45" s="35" t="s">
        <v>118</v>
      </c>
      <c r="C45" s="69" t="s">
        <v>84</v>
      </c>
      <c r="D45" s="104">
        <f t="shared" si="0"/>
        <v>0</v>
      </c>
      <c r="E45" s="104">
        <f t="shared" si="1"/>
        <v>0</v>
      </c>
      <c r="F45" s="104">
        <f t="shared" si="8"/>
        <v>0</v>
      </c>
      <c r="G45" s="104">
        <f t="shared" si="16"/>
        <v>0</v>
      </c>
      <c r="H45" s="105">
        <v>0</v>
      </c>
      <c r="I45" s="70">
        <f t="shared" si="15"/>
        <v>0</v>
      </c>
      <c r="J45" s="71">
        <f>IF(H45=0,0,1)</f>
        <v>0</v>
      </c>
      <c r="K45" s="70">
        <f>H45</f>
        <v>0</v>
      </c>
      <c r="L45" s="70">
        <f t="shared" si="4"/>
        <v>0</v>
      </c>
      <c r="M45" s="105">
        <v>0</v>
      </c>
      <c r="N45" s="70">
        <f t="shared" si="6"/>
        <v>0</v>
      </c>
      <c r="O45" s="71">
        <f>IF(M45=0,0,1)</f>
        <v>0</v>
      </c>
      <c r="P45" s="70">
        <f>M45</f>
        <v>0</v>
      </c>
      <c r="Q45" s="70">
        <f t="shared" si="7"/>
        <v>0</v>
      </c>
      <c r="R45" s="105">
        <v>0</v>
      </c>
      <c r="S45" s="70">
        <f t="shared" si="10"/>
        <v>0</v>
      </c>
      <c r="T45" s="71">
        <f>IF(R45=0,0,1)</f>
        <v>0</v>
      </c>
      <c r="U45" s="70">
        <f>R45</f>
        <v>0</v>
      </c>
      <c r="V45" s="70">
        <f t="shared" si="11"/>
        <v>0</v>
      </c>
      <c r="W45" s="76">
        <v>0</v>
      </c>
      <c r="X45" s="73">
        <v>0</v>
      </c>
      <c r="Y45" s="74">
        <v>0</v>
      </c>
      <c r="Z45" s="73">
        <v>0</v>
      </c>
      <c r="AA45" s="74">
        <v>0</v>
      </c>
      <c r="AB45" s="75">
        <v>0</v>
      </c>
      <c r="AC45" s="74">
        <v>0</v>
      </c>
      <c r="AD45" s="75">
        <v>0</v>
      </c>
      <c r="AE45" s="68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</row>
    <row r="46" spans="1:110" ht="17.25" customHeight="1">
      <c r="A46" s="28" t="s">
        <v>102</v>
      </c>
      <c r="B46" s="35" t="s">
        <v>61</v>
      </c>
      <c r="C46" s="69" t="s">
        <v>84</v>
      </c>
      <c r="D46" s="104">
        <f t="shared" si="0"/>
        <v>0</v>
      </c>
      <c r="E46" s="104">
        <f t="shared" si="1"/>
        <v>0</v>
      </c>
      <c r="F46" s="104">
        <f t="shared" si="8"/>
        <v>2125.7184402177745</v>
      </c>
      <c r="G46" s="104">
        <f t="shared" si="16"/>
        <v>10.03</v>
      </c>
      <c r="H46" s="105">
        <v>0</v>
      </c>
      <c r="I46" s="70">
        <f t="shared" si="15"/>
        <v>0</v>
      </c>
      <c r="J46" s="71">
        <f>IF(H46=0,0,1)</f>
        <v>0</v>
      </c>
      <c r="K46" s="70">
        <f>H46</f>
        <v>0</v>
      </c>
      <c r="L46" s="70">
        <f t="shared" si="4"/>
        <v>0</v>
      </c>
      <c r="M46" s="105">
        <v>0</v>
      </c>
      <c r="N46" s="70">
        <f t="shared" si="6"/>
        <v>0</v>
      </c>
      <c r="O46" s="71">
        <f>IF(M46=0,0,1)</f>
        <v>0</v>
      </c>
      <c r="P46" s="70">
        <f>P41*0.06</f>
        <v>1701.5312178546174</v>
      </c>
      <c r="Q46" s="70">
        <f t="shared" si="7"/>
        <v>33.72300980624177</v>
      </c>
      <c r="R46" s="105">
        <v>0</v>
      </c>
      <c r="S46" s="70">
        <f t="shared" si="10"/>
        <v>0</v>
      </c>
      <c r="T46" s="71">
        <f>IF(R46=0,0,1)</f>
        <v>0</v>
      </c>
      <c r="U46" s="70">
        <f>U41*0.06</f>
        <v>424.18722236315705</v>
      </c>
      <c r="V46" s="70">
        <f t="shared" si="11"/>
        <v>40.18614098760815</v>
      </c>
      <c r="W46" s="76">
        <v>0</v>
      </c>
      <c r="X46" s="73">
        <v>0</v>
      </c>
      <c r="Y46" s="74">
        <v>0</v>
      </c>
      <c r="Z46" s="73">
        <v>0</v>
      </c>
      <c r="AA46" s="74">
        <v>0</v>
      </c>
      <c r="AB46" s="75">
        <v>0</v>
      </c>
      <c r="AC46" s="74">
        <v>0</v>
      </c>
      <c r="AD46" s="75">
        <v>0</v>
      </c>
      <c r="AE46" s="68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</row>
    <row r="47" spans="1:110" ht="16.5" customHeight="1">
      <c r="A47" s="28" t="s">
        <v>103</v>
      </c>
      <c r="B47" s="35" t="s">
        <v>104</v>
      </c>
      <c r="C47" s="69" t="s">
        <v>84</v>
      </c>
      <c r="D47" s="104">
        <f t="shared" si="0"/>
        <v>0</v>
      </c>
      <c r="E47" s="104">
        <f t="shared" si="1"/>
        <v>0</v>
      </c>
      <c r="F47" s="104">
        <f t="shared" si="8"/>
        <v>0</v>
      </c>
      <c r="G47" s="104">
        <f t="shared" si="16"/>
        <v>0</v>
      </c>
      <c r="H47" s="105">
        <v>0</v>
      </c>
      <c r="I47" s="70">
        <f t="shared" si="15"/>
        <v>0</v>
      </c>
      <c r="J47" s="71">
        <f>IF(H47=0,0,1)</f>
        <v>0</v>
      </c>
      <c r="K47" s="70">
        <f>H47</f>
        <v>0</v>
      </c>
      <c r="L47" s="70">
        <f t="shared" si="4"/>
        <v>0</v>
      </c>
      <c r="M47" s="105">
        <v>0</v>
      </c>
      <c r="N47" s="70">
        <f t="shared" si="6"/>
        <v>0</v>
      </c>
      <c r="O47" s="71">
        <f>IF(M47=0,0,1)</f>
        <v>0</v>
      </c>
      <c r="P47" s="70">
        <f>M47</f>
        <v>0</v>
      </c>
      <c r="Q47" s="70">
        <f t="shared" si="7"/>
        <v>0</v>
      </c>
      <c r="R47" s="105">
        <v>0</v>
      </c>
      <c r="S47" s="70">
        <f t="shared" si="10"/>
        <v>0</v>
      </c>
      <c r="T47" s="71">
        <f>IF(R47=0,0,1)</f>
        <v>0</v>
      </c>
      <c r="U47" s="70">
        <f>R47</f>
        <v>0</v>
      </c>
      <c r="V47" s="70">
        <f t="shared" si="11"/>
        <v>0</v>
      </c>
      <c r="W47" s="76">
        <v>0</v>
      </c>
      <c r="X47" s="73">
        <v>0</v>
      </c>
      <c r="Y47" s="74">
        <v>0</v>
      </c>
      <c r="Z47" s="73">
        <v>0</v>
      </c>
      <c r="AA47" s="74">
        <v>0</v>
      </c>
      <c r="AB47" s="75">
        <v>0</v>
      </c>
      <c r="AC47" s="74">
        <v>0</v>
      </c>
      <c r="AD47" s="75">
        <v>0</v>
      </c>
      <c r="AE47" s="68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</row>
    <row r="48" spans="1:32" s="27" customFormat="1" ht="33" customHeight="1">
      <c r="A48" s="13">
        <v>8</v>
      </c>
      <c r="B48" s="61" t="s">
        <v>105</v>
      </c>
      <c r="C48" s="62" t="s">
        <v>84</v>
      </c>
      <c r="D48" s="103">
        <f t="shared" si="0"/>
        <v>88644.662776</v>
      </c>
      <c r="E48" s="103">
        <f>E41+E42</f>
        <v>418.2529241886148</v>
      </c>
      <c r="F48" s="103">
        <f t="shared" si="8"/>
        <v>81832.5171229122</v>
      </c>
      <c r="G48" s="103">
        <f>G41+G42</f>
        <v>386.10999999999996</v>
      </c>
      <c r="H48" s="63">
        <f>H41+H42</f>
        <v>44278.158012398184</v>
      </c>
      <c r="I48" s="63">
        <f>I41+I42</f>
        <v>293.371399076691</v>
      </c>
      <c r="J48" s="64">
        <f>K48/H48</f>
        <v>1</v>
      </c>
      <c r="K48" s="63">
        <f>K41+K42</f>
        <v>44278.158012398184</v>
      </c>
      <c r="L48" s="63">
        <f>L41+L42</f>
        <v>293.371399076691</v>
      </c>
      <c r="M48" s="63">
        <f>M41+M42</f>
        <v>36690.70282735465</v>
      </c>
      <c r="N48" s="63">
        <f>N41+N42</f>
        <v>727.1808581948117</v>
      </c>
      <c r="O48" s="64">
        <f>P48/M48</f>
        <v>0.8192916061110029</v>
      </c>
      <c r="P48" s="63">
        <f>P41+P42</f>
        <v>30060.38484876491</v>
      </c>
      <c r="Q48" s="63">
        <f>Q41+Q42</f>
        <v>595.7731732436047</v>
      </c>
      <c r="R48" s="63">
        <f>R41+R42</f>
        <v>7675.801936247172</v>
      </c>
      <c r="S48" s="63">
        <f>S41+S42</f>
        <v>727.1809298840775</v>
      </c>
      <c r="T48" s="64">
        <f>U48/R48</f>
        <v>0.9763115729133883</v>
      </c>
      <c r="U48" s="63">
        <f>U41+U42</f>
        <v>7493.974261749108</v>
      </c>
      <c r="V48" s="63">
        <f>V41+V42</f>
        <v>709.955157447744</v>
      </c>
      <c r="W48" s="85">
        <v>19399.56</v>
      </c>
      <c r="X48" s="66">
        <v>316.46</v>
      </c>
      <c r="Y48" s="67">
        <v>13189.5</v>
      </c>
      <c r="Z48" s="66">
        <v>252.78</v>
      </c>
      <c r="AA48" s="67">
        <v>4924.47</v>
      </c>
      <c r="AB48" s="66">
        <v>680.64</v>
      </c>
      <c r="AC48" s="67">
        <v>1285.59</v>
      </c>
      <c r="AD48" s="66">
        <v>680.64</v>
      </c>
      <c r="AE48" s="82">
        <f>((V48*U50)+(Q48*P50)+(I48*H50))/F50</f>
        <v>386.11111496765244</v>
      </c>
      <c r="AF48" s="68"/>
    </row>
    <row r="49" spans="1:31" s="27" customFormat="1" ht="22.5" customHeight="1">
      <c r="A49" s="13">
        <v>9</v>
      </c>
      <c r="B49" s="61" t="s">
        <v>106</v>
      </c>
      <c r="C49" s="86"/>
      <c r="D49" s="63"/>
      <c r="E49" s="103">
        <f>E48</f>
        <v>418.2529241886148</v>
      </c>
      <c r="F49" s="64"/>
      <c r="G49" s="103">
        <f>G48</f>
        <v>386.10999999999996</v>
      </c>
      <c r="H49" s="63"/>
      <c r="I49" s="63">
        <f>I48</f>
        <v>293.371399076691</v>
      </c>
      <c r="J49" s="64">
        <f>L49/I49</f>
        <v>1</v>
      </c>
      <c r="K49" s="63"/>
      <c r="L49" s="63">
        <f>L48</f>
        <v>293.371399076691</v>
      </c>
      <c r="M49" s="63"/>
      <c r="N49" s="63">
        <f>N48</f>
        <v>727.1808581948117</v>
      </c>
      <c r="O49" s="64">
        <f>Q49/N49</f>
        <v>0.8192916061110028</v>
      </c>
      <c r="P49" s="63"/>
      <c r="Q49" s="63">
        <f>Q48</f>
        <v>595.7731732436047</v>
      </c>
      <c r="R49" s="63"/>
      <c r="S49" s="63">
        <f>S48</f>
        <v>727.1809298840775</v>
      </c>
      <c r="T49" s="64">
        <f>V49/S49</f>
        <v>0.9763115729133882</v>
      </c>
      <c r="U49" s="63"/>
      <c r="V49" s="63">
        <f>V48</f>
        <v>709.955157447744</v>
      </c>
      <c r="W49" s="87">
        <v>316.46</v>
      </c>
      <c r="X49" s="66">
        <v>316.46</v>
      </c>
      <c r="Y49" s="66">
        <v>252.78</v>
      </c>
      <c r="Z49" s="66">
        <v>252.78</v>
      </c>
      <c r="AA49" s="66">
        <v>680.64</v>
      </c>
      <c r="AB49" s="66">
        <v>680.64</v>
      </c>
      <c r="AC49" s="66">
        <v>680.64</v>
      </c>
      <c r="AD49" s="66">
        <v>680.64</v>
      </c>
      <c r="AE49" s="82">
        <f>((S48*R50)+(N48*M50)+(I48*H50))/D50</f>
        <v>418.2529241886148</v>
      </c>
    </row>
    <row r="50" spans="1:22" s="27" customFormat="1" ht="30" customHeight="1">
      <c r="A50" s="13">
        <v>10</v>
      </c>
      <c r="B50" s="61" t="s">
        <v>65</v>
      </c>
      <c r="C50" s="62" t="s">
        <v>107</v>
      </c>
      <c r="D50" s="103">
        <f>H50+M50+R50</f>
        <v>211940.33</v>
      </c>
      <c r="E50" s="64"/>
      <c r="F50" s="103">
        <f>H50+P50+U50</f>
        <v>211940.33</v>
      </c>
      <c r="G50" s="63"/>
      <c r="H50" s="107">
        <v>150928.68</v>
      </c>
      <c r="I50" s="63"/>
      <c r="J50" s="64">
        <f>K50/H50</f>
        <v>1</v>
      </c>
      <c r="K50" s="63">
        <f>H50</f>
        <v>150928.68</v>
      </c>
      <c r="L50" s="63"/>
      <c r="M50" s="107">
        <v>50456.09</v>
      </c>
      <c r="N50" s="63"/>
      <c r="O50" s="64">
        <f>P50/M50</f>
        <v>1</v>
      </c>
      <c r="P50" s="63">
        <f>M50</f>
        <v>50456.09</v>
      </c>
      <c r="Q50" s="63"/>
      <c r="R50" s="107">
        <v>10555.56</v>
      </c>
      <c r="S50" s="63"/>
      <c r="T50" s="64">
        <f>U50/R50</f>
        <v>1</v>
      </c>
      <c r="U50" s="63">
        <f>R50</f>
        <v>10555.56</v>
      </c>
      <c r="V50" s="63"/>
    </row>
    <row r="51" spans="1:22" s="27" customFormat="1" ht="23.25" customHeight="1">
      <c r="A51" s="13">
        <v>11</v>
      </c>
      <c r="B51" s="61" t="s">
        <v>108</v>
      </c>
      <c r="C51" s="62"/>
      <c r="D51" s="103">
        <f aca="true" t="shared" si="17" ref="D51:I51">D42/D41*100</f>
        <v>0</v>
      </c>
      <c r="E51" s="103">
        <f t="shared" si="17"/>
        <v>0</v>
      </c>
      <c r="F51" s="103">
        <f t="shared" si="17"/>
        <v>2.6669223646530678</v>
      </c>
      <c r="G51" s="103">
        <f t="shared" si="17"/>
        <v>2.6669857477132526</v>
      </c>
      <c r="H51" s="63">
        <f t="shared" si="17"/>
        <v>0</v>
      </c>
      <c r="I51" s="87">
        <f t="shared" si="17"/>
        <v>0</v>
      </c>
      <c r="J51" s="64">
        <f>IF(H51=0,0,K51/H51)</f>
        <v>0</v>
      </c>
      <c r="K51" s="63">
        <f>K42/K41*100</f>
        <v>0</v>
      </c>
      <c r="L51" s="63">
        <f>L42/L41*100</f>
        <v>0</v>
      </c>
      <c r="M51" s="63">
        <f>M42/M41*100</f>
        <v>0</v>
      </c>
      <c r="N51" s="63">
        <f>N42/N41*100</f>
        <v>0</v>
      </c>
      <c r="O51" s="64">
        <f>IF(M51=0,0,P51/M51)</f>
        <v>0</v>
      </c>
      <c r="P51" s="63">
        <f>P42/P41*100</f>
        <v>6</v>
      </c>
      <c r="Q51" s="63">
        <f>Q42/Q41*100</f>
        <v>5.999999999999999</v>
      </c>
      <c r="R51" s="63">
        <f>R42/R41*100</f>
        <v>0</v>
      </c>
      <c r="S51" s="63">
        <f>S42/S41*100</f>
        <v>0</v>
      </c>
      <c r="T51" s="64">
        <f>IF(R51=0,0,U51/R51)</f>
        <v>0</v>
      </c>
      <c r="U51" s="63">
        <f>U42/U41*100</f>
        <v>6</v>
      </c>
      <c r="V51" s="63">
        <f>V42/V41*100</f>
        <v>6</v>
      </c>
    </row>
    <row r="52" ht="32.25" customHeight="1"/>
  </sheetData>
  <sheetProtection selectLockedCells="1" selectUnlockedCells="1"/>
  <mergeCells count="22">
    <mergeCell ref="A2:V2"/>
    <mergeCell ref="B3:N3"/>
    <mergeCell ref="R3:S3"/>
    <mergeCell ref="U3:V3"/>
    <mergeCell ref="A4:A6"/>
    <mergeCell ref="B4:B6"/>
    <mergeCell ref="D4:G4"/>
    <mergeCell ref="H4:L4"/>
    <mergeCell ref="M4:Q4"/>
    <mergeCell ref="R4:V4"/>
    <mergeCell ref="D5:E5"/>
    <mergeCell ref="F5:G5"/>
    <mergeCell ref="H5:I5"/>
    <mergeCell ref="K5:L5"/>
    <mergeCell ref="M5:N5"/>
    <mergeCell ref="P5:Q5"/>
    <mergeCell ref="R5:S5"/>
    <mergeCell ref="U5:V5"/>
    <mergeCell ref="W4:X4"/>
    <mergeCell ref="Y4:Z4"/>
    <mergeCell ref="AA4:AB4"/>
    <mergeCell ref="AC4:AD4"/>
  </mergeCells>
  <printOptions horizontalCentered="1"/>
  <pageMargins left="0.15763888888888888" right="0.15763888888888888" top="0.19652777777777777" bottom="0.15763888888888888" header="0.5118055555555555" footer="0.5118055555555555"/>
  <pageSetup firstPageNumber="1" useFirstPageNumber="1" horizontalDpi="300" verticalDpi="3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R58"/>
  <sheetViews>
    <sheetView view="pageBreakPreview" zoomScale="91" zoomScaleSheetLayoutView="91" zoomScalePageLayoutView="0" workbookViewId="0" topLeftCell="A1">
      <selection activeCell="A58" sqref="A58:H58"/>
    </sheetView>
  </sheetViews>
  <sheetFormatPr defaultColWidth="11.57421875" defaultRowHeight="12.75"/>
  <cols>
    <col min="1" max="1" width="7.00390625" style="10" customWidth="1"/>
    <col min="2" max="2" width="60.8515625" style="10" customWidth="1"/>
    <col min="3" max="6" width="0" style="108" hidden="1" customWidth="1"/>
    <col min="7" max="7" width="16.421875" style="108" customWidth="1"/>
    <col min="8" max="8" width="18.421875" style="108" customWidth="1"/>
    <col min="9" max="16" width="0" style="10" hidden="1" customWidth="1"/>
    <col min="17" max="17" width="8.00390625" style="10" customWidth="1"/>
    <col min="18" max="254" width="11.57421875" style="10" customWidth="1"/>
  </cols>
  <sheetData>
    <row r="1" spans="2:18" ht="16.5">
      <c r="B1" s="4"/>
      <c r="C1" s="4"/>
      <c r="D1" s="4"/>
      <c r="E1" s="4"/>
      <c r="F1" s="4"/>
      <c r="G1" s="5" t="s">
        <v>119</v>
      </c>
      <c r="H1" s="10"/>
      <c r="R1"/>
    </row>
    <row r="2" spans="1:18" ht="15" customHeight="1">
      <c r="A2" s="109"/>
      <c r="B2" s="110"/>
      <c r="C2" s="8"/>
      <c r="D2" s="8"/>
      <c r="E2" s="8"/>
      <c r="F2" s="8"/>
      <c r="G2" s="111"/>
      <c r="H2" s="7"/>
      <c r="I2" s="7"/>
      <c r="J2" s="7"/>
      <c r="K2" s="7"/>
      <c r="L2" s="7"/>
      <c r="M2" s="7"/>
      <c r="N2" s="7"/>
      <c r="O2" s="7"/>
      <c r="P2" s="7"/>
      <c r="R2"/>
    </row>
    <row r="3" spans="1:18" ht="16.5" customHeight="1">
      <c r="A3" s="112"/>
      <c r="B3" s="113"/>
      <c r="C3" s="114"/>
      <c r="D3" s="114"/>
      <c r="E3" s="114"/>
      <c r="F3" s="114"/>
      <c r="G3" s="11"/>
      <c r="H3" s="10"/>
      <c r="R3"/>
    </row>
    <row r="4" spans="1:8" ht="12.75" customHeight="1">
      <c r="A4" s="112"/>
      <c r="B4" s="113"/>
      <c r="C4" s="114"/>
      <c r="D4" s="114"/>
      <c r="E4" s="114"/>
      <c r="F4" s="114"/>
      <c r="G4" s="52"/>
      <c r="H4" s="52"/>
    </row>
    <row r="5" spans="1:8" ht="20.25" customHeight="1">
      <c r="A5" s="313" t="s">
        <v>120</v>
      </c>
      <c r="B5" s="313"/>
      <c r="C5" s="313"/>
      <c r="D5" s="313"/>
      <c r="E5" s="313"/>
      <c r="F5" s="313"/>
      <c r="G5" s="313"/>
      <c r="H5" s="313"/>
    </row>
    <row r="6" spans="1:9" ht="18.75" customHeight="1">
      <c r="A6" s="313" t="str">
        <f>Додаток1!A6</f>
        <v>КП "Лисичанськтепломережа"</v>
      </c>
      <c r="B6" s="313"/>
      <c r="C6" s="313"/>
      <c r="D6" s="313"/>
      <c r="E6" s="313"/>
      <c r="F6" s="313"/>
      <c r="G6" s="313"/>
      <c r="H6" s="313"/>
      <c r="I6" s="115"/>
    </row>
    <row r="7" spans="2:8" ht="20.25" customHeight="1">
      <c r="B7" s="303"/>
      <c r="C7" s="303"/>
      <c r="D7" s="303"/>
      <c r="E7" s="303"/>
      <c r="F7" s="303"/>
      <c r="G7" s="303"/>
      <c r="H7" s="303"/>
    </row>
    <row r="8" spans="1:16" ht="46.5" customHeight="1">
      <c r="A8" s="299" t="s">
        <v>2</v>
      </c>
      <c r="B8" s="299" t="s">
        <v>3</v>
      </c>
      <c r="C8" s="299" t="s">
        <v>121</v>
      </c>
      <c r="D8" s="299"/>
      <c r="E8" s="299" t="s">
        <v>5</v>
      </c>
      <c r="F8" s="299"/>
      <c r="G8" s="299" t="s">
        <v>5</v>
      </c>
      <c r="H8" s="299"/>
      <c r="I8" s="312" t="s">
        <v>122</v>
      </c>
      <c r="J8" s="312"/>
      <c r="K8" s="312" t="s">
        <v>5</v>
      </c>
      <c r="L8" s="312"/>
      <c r="M8" s="312" t="s">
        <v>123</v>
      </c>
      <c r="N8" s="312"/>
      <c r="O8" s="312" t="s">
        <v>78</v>
      </c>
      <c r="P8" s="312"/>
    </row>
    <row r="9" spans="1:16" ht="20.25" customHeight="1" hidden="1">
      <c r="A9" s="299"/>
      <c r="B9" s="299"/>
      <c r="C9" s="299"/>
      <c r="D9" s="299"/>
      <c r="E9" s="299"/>
      <c r="F9" s="299"/>
      <c r="G9" s="299"/>
      <c r="H9" s="299"/>
      <c r="I9" s="312"/>
      <c r="J9" s="312"/>
      <c r="K9" s="312"/>
      <c r="L9" s="312"/>
      <c r="M9" s="312"/>
      <c r="N9" s="312"/>
      <c r="O9" s="312"/>
      <c r="P9" s="312"/>
    </row>
    <row r="10" spans="1:16" ht="37.5" customHeight="1">
      <c r="A10" s="299"/>
      <c r="B10" s="299"/>
      <c r="C10" s="17" t="s">
        <v>6</v>
      </c>
      <c r="D10" s="17" t="s">
        <v>7</v>
      </c>
      <c r="E10" s="17" t="s">
        <v>6</v>
      </c>
      <c r="F10" s="17" t="s">
        <v>7</v>
      </c>
      <c r="G10" s="17" t="s">
        <v>6</v>
      </c>
      <c r="H10" s="17" t="s">
        <v>7</v>
      </c>
      <c r="I10" s="17" t="s">
        <v>83</v>
      </c>
      <c r="J10" s="17" t="s">
        <v>7</v>
      </c>
      <c r="K10" s="17" t="s">
        <v>83</v>
      </c>
      <c r="L10" s="17" t="s">
        <v>7</v>
      </c>
      <c r="M10" s="17" t="s">
        <v>83</v>
      </c>
      <c r="N10" s="17" t="s">
        <v>7</v>
      </c>
      <c r="O10" s="17" t="s">
        <v>83</v>
      </c>
      <c r="P10" s="17" t="s">
        <v>7</v>
      </c>
    </row>
    <row r="11" spans="1:16" ht="13.5">
      <c r="A11" s="69">
        <v>1</v>
      </c>
      <c r="B11" s="69">
        <v>2</v>
      </c>
      <c r="C11" s="60">
        <v>3</v>
      </c>
      <c r="D11" s="60">
        <v>4</v>
      </c>
      <c r="E11" s="60">
        <v>5</v>
      </c>
      <c r="F11" s="60">
        <v>6</v>
      </c>
      <c r="G11" s="60">
        <v>3</v>
      </c>
      <c r="H11" s="60">
        <v>4</v>
      </c>
      <c r="I11" s="60">
        <v>3</v>
      </c>
      <c r="J11" s="60">
        <v>4</v>
      </c>
      <c r="K11" s="60">
        <v>5</v>
      </c>
      <c r="L11" s="60">
        <v>6</v>
      </c>
      <c r="M11" s="60">
        <v>7</v>
      </c>
      <c r="N11" s="60">
        <v>8</v>
      </c>
      <c r="O11" s="60">
        <v>9</v>
      </c>
      <c r="P11" s="116">
        <v>10</v>
      </c>
    </row>
    <row r="12" spans="1:17" s="27" customFormat="1" ht="16.5" customHeight="1">
      <c r="A12" s="96">
        <v>1</v>
      </c>
      <c r="B12" s="23" t="s">
        <v>8</v>
      </c>
      <c r="C12" s="98" t="e">
        <f>E12+G12+#REF!</f>
        <v>#REF!</v>
      </c>
      <c r="D12" s="98" t="e">
        <f aca="true" t="shared" si="0" ref="D12:D36">C12/$C$47*1000</f>
        <v>#REF!</v>
      </c>
      <c r="E12" s="98">
        <f>E13+E18+E19+E23</f>
        <v>7102.452402955922</v>
      </c>
      <c r="F12" s="98">
        <f aca="true" t="shared" si="1" ref="F12:F36">E12/$E$47*1000</f>
        <v>47.058335121965705</v>
      </c>
      <c r="G12" s="98">
        <f>G13+G18+G19+G23+0.01</f>
        <v>8734</v>
      </c>
      <c r="H12" s="98">
        <f aca="true" t="shared" si="2" ref="H12:H36">G12/$G$47*1000</f>
        <v>57.868391878866234</v>
      </c>
      <c r="I12" s="117">
        <v>2597.12</v>
      </c>
      <c r="J12" s="98">
        <v>42.37</v>
      </c>
      <c r="K12" s="117">
        <v>2210.58</v>
      </c>
      <c r="L12" s="98">
        <v>42.37</v>
      </c>
      <c r="M12" s="117">
        <v>306.52</v>
      </c>
      <c r="N12" s="98">
        <v>42.37</v>
      </c>
      <c r="O12" s="117">
        <v>80.02</v>
      </c>
      <c r="P12" s="98">
        <v>42.37</v>
      </c>
      <c r="Q12" s="68"/>
    </row>
    <row r="13" spans="1:17" s="27" customFormat="1" ht="16.5" customHeight="1">
      <c r="A13" s="118" t="s">
        <v>9</v>
      </c>
      <c r="B13" s="23" t="s">
        <v>124</v>
      </c>
      <c r="C13" s="98" t="e">
        <f>E13+G13+#REF!</f>
        <v>#REF!</v>
      </c>
      <c r="D13" s="98" t="e">
        <f t="shared" si="0"/>
        <v>#REF!</v>
      </c>
      <c r="E13" s="98">
        <f>SUM(E14:E17)</f>
        <v>399.07583059759503</v>
      </c>
      <c r="F13" s="98">
        <f t="shared" si="1"/>
        <v>2.6441351676672387</v>
      </c>
      <c r="G13" s="98">
        <f>SUM(G14:G17)+0.01</f>
        <v>706.74</v>
      </c>
      <c r="H13" s="98">
        <f t="shared" si="2"/>
        <v>4.682609030967474</v>
      </c>
      <c r="I13" s="117">
        <v>364.17</v>
      </c>
      <c r="J13" s="98">
        <v>5.94</v>
      </c>
      <c r="K13" s="117">
        <v>309.97</v>
      </c>
      <c r="L13" s="98">
        <v>5.94</v>
      </c>
      <c r="M13" s="117">
        <v>42.98</v>
      </c>
      <c r="N13" s="98">
        <v>5.94</v>
      </c>
      <c r="O13" s="117">
        <v>11.22</v>
      </c>
      <c r="P13" s="98">
        <v>5.94</v>
      </c>
      <c r="Q13" s="68"/>
    </row>
    <row r="14" spans="1:17" ht="16.5" customHeight="1">
      <c r="A14" s="97" t="s">
        <v>11</v>
      </c>
      <c r="B14" s="29" t="str">
        <f>'Додаток2 скор'!B13</f>
        <v>витрати на електроенергію </v>
      </c>
      <c r="C14" s="75" t="e">
        <f>E14+G14+#REF!</f>
        <v>#REF!</v>
      </c>
      <c r="D14" s="75" t="e">
        <f t="shared" si="0"/>
        <v>#REF!</v>
      </c>
      <c r="E14" s="75">
        <v>365.16733490520085</v>
      </c>
      <c r="F14" s="75">
        <f t="shared" si="1"/>
        <v>2.419469479923901</v>
      </c>
      <c r="G14" s="75">
        <v>672.83</v>
      </c>
      <c r="H14" s="75">
        <f t="shared" si="2"/>
        <v>4.457933376214514</v>
      </c>
      <c r="I14" s="74">
        <v>122.37</v>
      </c>
      <c r="J14" s="75">
        <v>2</v>
      </c>
      <c r="K14" s="74">
        <v>104.15</v>
      </c>
      <c r="L14" s="75">
        <v>2</v>
      </c>
      <c r="M14" s="74">
        <v>14.44</v>
      </c>
      <c r="N14" s="75">
        <v>2</v>
      </c>
      <c r="O14" s="74">
        <v>3.77</v>
      </c>
      <c r="P14" s="75">
        <v>2</v>
      </c>
      <c r="Q14" s="68"/>
    </row>
    <row r="15" spans="1:17" ht="31.5">
      <c r="A15" s="97" t="s">
        <v>13</v>
      </c>
      <c r="B15" s="29" t="s">
        <v>125</v>
      </c>
      <c r="C15" s="75" t="e">
        <f>E15+G15+#REF!</f>
        <v>#REF!</v>
      </c>
      <c r="D15" s="75" t="e">
        <f t="shared" si="0"/>
        <v>#REF!</v>
      </c>
      <c r="E15" s="75">
        <v>0</v>
      </c>
      <c r="F15" s="75">
        <f t="shared" si="1"/>
        <v>0</v>
      </c>
      <c r="G15" s="75">
        <v>0</v>
      </c>
      <c r="H15" s="75">
        <f t="shared" si="2"/>
        <v>0</v>
      </c>
      <c r="I15" s="74">
        <v>0</v>
      </c>
      <c r="J15" s="75">
        <v>0</v>
      </c>
      <c r="K15" s="74">
        <v>0</v>
      </c>
      <c r="L15" s="75">
        <v>0</v>
      </c>
      <c r="M15" s="74">
        <v>0</v>
      </c>
      <c r="N15" s="75">
        <v>0</v>
      </c>
      <c r="O15" s="74">
        <v>0</v>
      </c>
      <c r="P15" s="75">
        <v>0</v>
      </c>
      <c r="Q15" s="68"/>
    </row>
    <row r="16" spans="1:17" ht="15.75">
      <c r="A16" s="97" t="s">
        <v>15</v>
      </c>
      <c r="B16" s="29" t="s">
        <v>22</v>
      </c>
      <c r="C16" s="75" t="e">
        <f>E16+G16+#REF!</f>
        <v>#REF!</v>
      </c>
      <c r="D16" s="75" t="e">
        <f t="shared" si="0"/>
        <v>#REF!</v>
      </c>
      <c r="E16" s="75">
        <v>4.874317948686785</v>
      </c>
      <c r="F16" s="75">
        <f t="shared" si="1"/>
        <v>0.0322955050603158</v>
      </c>
      <c r="G16" s="75">
        <v>4.87</v>
      </c>
      <c r="H16" s="75">
        <f t="shared" si="2"/>
        <v>0.032266895861011974</v>
      </c>
      <c r="I16" s="74">
        <v>0</v>
      </c>
      <c r="J16" s="75">
        <v>0</v>
      </c>
      <c r="K16" s="74">
        <v>0</v>
      </c>
      <c r="L16" s="75">
        <v>0</v>
      </c>
      <c r="M16" s="74">
        <v>0</v>
      </c>
      <c r="N16" s="75">
        <v>0</v>
      </c>
      <c r="O16" s="74">
        <v>0</v>
      </c>
      <c r="P16" s="75">
        <v>0</v>
      </c>
      <c r="Q16" s="68"/>
    </row>
    <row r="17" spans="1:17" ht="15.75">
      <c r="A17" s="97" t="s">
        <v>17</v>
      </c>
      <c r="B17" s="29" t="s">
        <v>24</v>
      </c>
      <c r="C17" s="75" t="e">
        <f>E17+G17+#REF!</f>
        <v>#REF!</v>
      </c>
      <c r="D17" s="75" t="e">
        <f t="shared" si="0"/>
        <v>#REF!</v>
      </c>
      <c r="E17" s="75">
        <v>29.034177743707392</v>
      </c>
      <c r="F17" s="75">
        <f t="shared" si="1"/>
        <v>0.19237018268302217</v>
      </c>
      <c r="G17" s="75">
        <v>29.03</v>
      </c>
      <c r="H17" s="75">
        <f t="shared" si="2"/>
        <v>0.19234250243227466</v>
      </c>
      <c r="I17" s="74">
        <v>241.81</v>
      </c>
      <c r="J17" s="75">
        <v>3.94</v>
      </c>
      <c r="K17" s="74">
        <v>205.82</v>
      </c>
      <c r="L17" s="75">
        <v>3.94</v>
      </c>
      <c r="M17" s="74">
        <v>28.54</v>
      </c>
      <c r="N17" s="75">
        <v>3.94</v>
      </c>
      <c r="O17" s="74">
        <v>7.45</v>
      </c>
      <c r="P17" s="75">
        <v>3.94</v>
      </c>
      <c r="Q17" s="68"/>
    </row>
    <row r="18" spans="1:17" s="27" customFormat="1" ht="31.5" customHeight="1">
      <c r="A18" s="118" t="s">
        <v>25</v>
      </c>
      <c r="B18" s="23" t="s">
        <v>126</v>
      </c>
      <c r="C18" s="98" t="e">
        <f>E18+G18+#REF!</f>
        <v>#REF!</v>
      </c>
      <c r="D18" s="98" t="e">
        <f t="shared" si="0"/>
        <v>#REF!</v>
      </c>
      <c r="E18" s="98">
        <v>3800.464754372622</v>
      </c>
      <c r="F18" s="98">
        <f t="shared" si="1"/>
        <v>25.180533973878404</v>
      </c>
      <c r="G18" s="98">
        <v>6518.04</v>
      </c>
      <c r="H18" s="98">
        <f t="shared" si="2"/>
        <v>43.18622544104938</v>
      </c>
      <c r="I18" s="117">
        <v>1133.46</v>
      </c>
      <c r="J18" s="98">
        <v>18.49</v>
      </c>
      <c r="K18" s="117">
        <v>964.76</v>
      </c>
      <c r="L18" s="98">
        <v>18.49</v>
      </c>
      <c r="M18" s="117">
        <v>133.77</v>
      </c>
      <c r="N18" s="98">
        <v>18.49</v>
      </c>
      <c r="O18" s="117">
        <v>34.92</v>
      </c>
      <c r="P18" s="98">
        <v>18.49</v>
      </c>
      <c r="Q18" s="68"/>
    </row>
    <row r="19" spans="1:17" s="27" customFormat="1" ht="16.5" customHeight="1">
      <c r="A19" s="118" t="s">
        <v>27</v>
      </c>
      <c r="B19" s="23" t="s">
        <v>127</v>
      </c>
      <c r="C19" s="98" t="e">
        <f>E19+G19+#REF!</f>
        <v>#REF!</v>
      </c>
      <c r="D19" s="98" t="e">
        <f t="shared" si="0"/>
        <v>#REF!</v>
      </c>
      <c r="E19" s="98">
        <f>SUM(E20:E22)</f>
        <v>2835.716941772899</v>
      </c>
      <c r="F19" s="98">
        <f t="shared" si="1"/>
        <v>18.788456519813856</v>
      </c>
      <c r="G19" s="98">
        <f>SUM(G20:G22)</f>
        <v>1427.26</v>
      </c>
      <c r="H19" s="98">
        <f t="shared" si="2"/>
        <v>9.456519463365082</v>
      </c>
      <c r="I19" s="117">
        <v>1099.49</v>
      </c>
      <c r="J19" s="98">
        <v>17.94</v>
      </c>
      <c r="K19" s="117">
        <v>935.85</v>
      </c>
      <c r="L19" s="98">
        <v>17.94</v>
      </c>
      <c r="M19" s="117">
        <v>129.76</v>
      </c>
      <c r="N19" s="98">
        <v>17.94</v>
      </c>
      <c r="O19" s="117">
        <v>33.88</v>
      </c>
      <c r="P19" s="98">
        <v>17.94</v>
      </c>
      <c r="Q19" s="68"/>
    </row>
    <row r="20" spans="1:17" ht="16.5" customHeight="1" hidden="1">
      <c r="A20" s="97"/>
      <c r="B20" s="29"/>
      <c r="C20" s="75" t="e">
        <f>E20+G20+#REF!</f>
        <v>#REF!</v>
      </c>
      <c r="D20" s="75" t="e">
        <f t="shared" si="0"/>
        <v>#REF!</v>
      </c>
      <c r="E20" s="75">
        <v>1408.4522351162839</v>
      </c>
      <c r="F20" s="75">
        <f t="shared" si="1"/>
        <v>9.331905871808353</v>
      </c>
      <c r="G20" s="75"/>
      <c r="H20" s="75">
        <f t="shared" si="2"/>
        <v>0</v>
      </c>
      <c r="I20" s="74">
        <v>420.06</v>
      </c>
      <c r="J20" s="75">
        <v>6.85</v>
      </c>
      <c r="K20" s="74">
        <v>357.54</v>
      </c>
      <c r="L20" s="75">
        <v>6.85</v>
      </c>
      <c r="M20" s="74">
        <v>49.58</v>
      </c>
      <c r="N20" s="75">
        <v>6.85</v>
      </c>
      <c r="O20" s="74">
        <v>12.94</v>
      </c>
      <c r="P20" s="75">
        <v>6.85</v>
      </c>
      <c r="Q20" s="68"/>
    </row>
    <row r="21" spans="1:17" ht="16.5" customHeight="1">
      <c r="A21" s="97" t="s">
        <v>29</v>
      </c>
      <c r="B21" s="119" t="s">
        <v>30</v>
      </c>
      <c r="C21" s="75" t="e">
        <f>E21+G21+#REF!</f>
        <v>#REF!</v>
      </c>
      <c r="D21" s="75" t="e">
        <f t="shared" si="0"/>
        <v>#REF!</v>
      </c>
      <c r="E21" s="75">
        <v>650.1417239678451</v>
      </c>
      <c r="F21" s="75">
        <f t="shared" si="1"/>
        <v>4.307608891615862</v>
      </c>
      <c r="G21" s="75">
        <v>650.14</v>
      </c>
      <c r="H21" s="75">
        <f t="shared" si="2"/>
        <v>4.307597469215261</v>
      </c>
      <c r="I21" s="74">
        <v>561.25</v>
      </c>
      <c r="J21" s="75">
        <v>9.16</v>
      </c>
      <c r="K21" s="74">
        <v>477.72</v>
      </c>
      <c r="L21" s="75">
        <v>9.16</v>
      </c>
      <c r="M21" s="74">
        <v>66.24</v>
      </c>
      <c r="N21" s="75">
        <v>9.16</v>
      </c>
      <c r="O21" s="74">
        <v>17.29</v>
      </c>
      <c r="P21" s="75">
        <v>9.16</v>
      </c>
      <c r="Q21" s="68"/>
    </row>
    <row r="22" spans="1:17" ht="16.5" customHeight="1">
      <c r="A22" s="97" t="s">
        <v>31</v>
      </c>
      <c r="B22" s="29" t="s">
        <v>32</v>
      </c>
      <c r="C22" s="75" t="e">
        <f>E22+G22+#REF!</f>
        <v>#REF!</v>
      </c>
      <c r="D22" s="75" t="e">
        <f t="shared" si="0"/>
        <v>#REF!</v>
      </c>
      <c r="E22" s="75">
        <v>777.12298268877</v>
      </c>
      <c r="F22" s="75">
        <f t="shared" si="1"/>
        <v>5.1489417563896405</v>
      </c>
      <c r="G22" s="75">
        <v>777.12</v>
      </c>
      <c r="H22" s="75">
        <f t="shared" si="2"/>
        <v>5.14892199414982</v>
      </c>
      <c r="I22" s="74">
        <v>118.18</v>
      </c>
      <c r="J22" s="75">
        <v>1.93</v>
      </c>
      <c r="K22" s="74">
        <v>100.59</v>
      </c>
      <c r="L22" s="75">
        <v>1.93</v>
      </c>
      <c r="M22" s="74">
        <v>13.95</v>
      </c>
      <c r="N22" s="75">
        <v>1.93</v>
      </c>
      <c r="O22" s="74">
        <v>3.64</v>
      </c>
      <c r="P22" s="75">
        <v>1.93</v>
      </c>
      <c r="Q22" s="68"/>
    </row>
    <row r="23" spans="1:17" s="27" customFormat="1" ht="16.5" customHeight="1">
      <c r="A23" s="118" t="s">
        <v>33</v>
      </c>
      <c r="B23" s="23" t="s">
        <v>128</v>
      </c>
      <c r="C23" s="98" t="e">
        <f>E23+G23+#REF!</f>
        <v>#REF!</v>
      </c>
      <c r="D23" s="98" t="e">
        <f t="shared" si="0"/>
        <v>#REF!</v>
      </c>
      <c r="E23" s="98">
        <f>SUM(E24:E26)</f>
        <v>67.19487621280574</v>
      </c>
      <c r="F23" s="98">
        <f t="shared" si="1"/>
        <v>0.4452094606061998</v>
      </c>
      <c r="G23" s="98">
        <f>SUM(G24:G26)-0.01</f>
        <v>81.94999999999999</v>
      </c>
      <c r="H23" s="98">
        <f t="shared" si="2"/>
        <v>0.5429716870246264</v>
      </c>
      <c r="I23" s="117">
        <v>0</v>
      </c>
      <c r="J23" s="98">
        <v>0</v>
      </c>
      <c r="K23" s="117">
        <v>0</v>
      </c>
      <c r="L23" s="98">
        <v>0</v>
      </c>
      <c r="M23" s="117">
        <v>0</v>
      </c>
      <c r="N23" s="98">
        <v>0</v>
      </c>
      <c r="O23" s="117">
        <v>0</v>
      </c>
      <c r="P23" s="98">
        <v>0</v>
      </c>
      <c r="Q23" s="68"/>
    </row>
    <row r="24" spans="1:17" ht="15.75">
      <c r="A24" s="97" t="s">
        <v>35</v>
      </c>
      <c r="B24" s="29" t="s">
        <v>129</v>
      </c>
      <c r="C24" s="75" t="e">
        <f>E24+G24+#REF!</f>
        <v>#REF!</v>
      </c>
      <c r="D24" s="75" t="e">
        <f t="shared" si="0"/>
        <v>#REF!</v>
      </c>
      <c r="E24" s="75">
        <v>42.847042579314255</v>
      </c>
      <c r="F24" s="75">
        <f t="shared" si="1"/>
        <v>0.2838893348786609</v>
      </c>
      <c r="G24" s="75">
        <v>73.49</v>
      </c>
      <c r="H24" s="75">
        <f t="shared" si="2"/>
        <v>0.4869187221408151</v>
      </c>
      <c r="I24" s="74">
        <v>0</v>
      </c>
      <c r="J24" s="75">
        <v>0</v>
      </c>
      <c r="K24" s="74">
        <v>0</v>
      </c>
      <c r="L24" s="75">
        <v>0</v>
      </c>
      <c r="M24" s="74">
        <v>0</v>
      </c>
      <c r="N24" s="75">
        <v>0</v>
      </c>
      <c r="O24" s="74">
        <v>0</v>
      </c>
      <c r="P24" s="75">
        <v>0</v>
      </c>
      <c r="Q24" s="68"/>
    </row>
    <row r="25" spans="1:17" ht="16.5" customHeight="1" hidden="1">
      <c r="A25" s="97" t="s">
        <v>37</v>
      </c>
      <c r="B25" s="29"/>
      <c r="C25" s="75" t="e">
        <f>E25+G25+#REF!</f>
        <v>#REF!</v>
      </c>
      <c r="D25" s="75" t="e">
        <f t="shared" si="0"/>
        <v>#REF!</v>
      </c>
      <c r="E25" s="75">
        <v>15.879113951886234</v>
      </c>
      <c r="F25" s="75">
        <f t="shared" si="1"/>
        <v>0.10520938732046312</v>
      </c>
      <c r="G25" s="75"/>
      <c r="H25" s="75">
        <f t="shared" si="2"/>
        <v>0</v>
      </c>
      <c r="I25" s="74">
        <v>0</v>
      </c>
      <c r="J25" s="75">
        <v>0</v>
      </c>
      <c r="K25" s="74">
        <v>0</v>
      </c>
      <c r="L25" s="75">
        <v>0</v>
      </c>
      <c r="M25" s="74">
        <v>0</v>
      </c>
      <c r="N25" s="75">
        <v>0</v>
      </c>
      <c r="O25" s="74">
        <v>0</v>
      </c>
      <c r="P25" s="75">
        <v>0</v>
      </c>
      <c r="Q25" s="68"/>
    </row>
    <row r="26" spans="1:17" ht="16.5" customHeight="1">
      <c r="A26" s="97" t="s">
        <v>99</v>
      </c>
      <c r="B26" s="29" t="s">
        <v>38</v>
      </c>
      <c r="C26" s="75" t="e">
        <f>E26+G26+#REF!</f>
        <v>#REF!</v>
      </c>
      <c r="D26" s="75" t="e">
        <f t="shared" si="0"/>
        <v>#REF!</v>
      </c>
      <c r="E26" s="75">
        <v>8.468719681605256</v>
      </c>
      <c r="F26" s="75">
        <f t="shared" si="1"/>
        <v>0.056110738407075825</v>
      </c>
      <c r="G26" s="75">
        <v>8.47</v>
      </c>
      <c r="H26" s="75">
        <f t="shared" si="2"/>
        <v>0.05611922134348489</v>
      </c>
      <c r="I26" s="74">
        <v>0</v>
      </c>
      <c r="J26" s="75">
        <v>0</v>
      </c>
      <c r="K26" s="74">
        <v>0</v>
      </c>
      <c r="L26" s="75">
        <v>0</v>
      </c>
      <c r="M26" s="74">
        <v>0</v>
      </c>
      <c r="N26" s="75">
        <v>0</v>
      </c>
      <c r="O26" s="74">
        <v>0</v>
      </c>
      <c r="P26" s="75">
        <v>0</v>
      </c>
      <c r="Q26" s="68"/>
    </row>
    <row r="27" spans="1:17" s="27" customFormat="1" ht="16.5" customHeight="1">
      <c r="A27" s="118">
        <v>2</v>
      </c>
      <c r="B27" s="23" t="s">
        <v>130</v>
      </c>
      <c r="C27" s="98" t="e">
        <f>E27+G27+#REF!</f>
        <v>#REF!</v>
      </c>
      <c r="D27" s="98" t="e">
        <f t="shared" si="0"/>
        <v>#REF!</v>
      </c>
      <c r="E27" s="98">
        <f>SUM(E28:E30)</f>
        <v>230.01373243732328</v>
      </c>
      <c r="F27" s="98">
        <f t="shared" si="1"/>
        <v>1.523989558759298</v>
      </c>
      <c r="G27" s="98">
        <f>SUM(G28:G30)-0.01</f>
        <v>282.97</v>
      </c>
      <c r="H27" s="98">
        <f t="shared" si="2"/>
        <v>1.874859039382045</v>
      </c>
      <c r="I27" s="117">
        <v>131.69</v>
      </c>
      <c r="J27" s="98">
        <v>2.15</v>
      </c>
      <c r="K27" s="117">
        <v>112.09</v>
      </c>
      <c r="L27" s="98">
        <v>2.15</v>
      </c>
      <c r="M27" s="117">
        <v>15.54</v>
      </c>
      <c r="N27" s="98">
        <v>2.15</v>
      </c>
      <c r="O27" s="117">
        <v>4.06</v>
      </c>
      <c r="P27" s="98">
        <v>2.15</v>
      </c>
      <c r="Q27" s="68"/>
    </row>
    <row r="28" spans="1:17" ht="16.5" customHeight="1">
      <c r="A28" s="97" t="s">
        <v>41</v>
      </c>
      <c r="B28" s="29" t="s">
        <v>129</v>
      </c>
      <c r="C28" s="75" t="e">
        <f>E28+G28+#REF!</f>
        <v>#REF!</v>
      </c>
      <c r="D28" s="75" t="e">
        <f t="shared" si="0"/>
        <v>#REF!</v>
      </c>
      <c r="E28" s="75">
        <v>153.74758546899366</v>
      </c>
      <c r="F28" s="75">
        <f t="shared" si="1"/>
        <v>1.0186770696529888</v>
      </c>
      <c r="G28" s="75">
        <v>263.69</v>
      </c>
      <c r="H28" s="75">
        <f t="shared" si="2"/>
        <v>1.7471165851314676</v>
      </c>
      <c r="I28" s="74">
        <v>81.28</v>
      </c>
      <c r="J28" s="75">
        <v>1.33</v>
      </c>
      <c r="K28" s="74">
        <v>69.18</v>
      </c>
      <c r="L28" s="75">
        <v>1.33</v>
      </c>
      <c r="M28" s="74">
        <v>9.59</v>
      </c>
      <c r="N28" s="75">
        <v>1.33</v>
      </c>
      <c r="O28" s="74">
        <v>2.5</v>
      </c>
      <c r="P28" s="75">
        <v>1.33</v>
      </c>
      <c r="Q28" s="68"/>
    </row>
    <row r="29" spans="1:17" ht="16.5" customHeight="1" hidden="1">
      <c r="A29" s="97" t="s">
        <v>42</v>
      </c>
      <c r="B29" s="29"/>
      <c r="C29" s="75" t="e">
        <f>E29+G29+#REF!</f>
        <v>#REF!</v>
      </c>
      <c r="D29" s="75" t="e">
        <f t="shared" si="0"/>
        <v>#REF!</v>
      </c>
      <c r="E29" s="75">
        <v>56.9788554167949</v>
      </c>
      <c r="F29" s="75">
        <f t="shared" si="1"/>
        <v>0.37752172361671027</v>
      </c>
      <c r="G29" s="75"/>
      <c r="H29" s="75">
        <f t="shared" si="2"/>
        <v>0</v>
      </c>
      <c r="I29" s="74">
        <v>30.12</v>
      </c>
      <c r="J29" s="75">
        <v>0.49</v>
      </c>
      <c r="K29" s="74">
        <v>25.64</v>
      </c>
      <c r="L29" s="75">
        <v>0.49</v>
      </c>
      <c r="M29" s="74">
        <v>3.56</v>
      </c>
      <c r="N29" s="75">
        <v>0.49</v>
      </c>
      <c r="O29" s="74">
        <v>0.93</v>
      </c>
      <c r="P29" s="75">
        <v>0.49</v>
      </c>
      <c r="Q29" s="68"/>
    </row>
    <row r="30" spans="1:17" ht="16.5" customHeight="1">
      <c r="A30" s="97" t="s">
        <v>100</v>
      </c>
      <c r="B30" s="29" t="s">
        <v>38</v>
      </c>
      <c r="C30" s="75" t="e">
        <f>E30+G30+#REF!</f>
        <v>#REF!</v>
      </c>
      <c r="D30" s="75" t="e">
        <f t="shared" si="0"/>
        <v>#REF!</v>
      </c>
      <c r="E30" s="75">
        <v>19.287291551534718</v>
      </c>
      <c r="F30" s="75">
        <f t="shared" si="1"/>
        <v>0.12779076548959892</v>
      </c>
      <c r="G30" s="75">
        <v>19.29</v>
      </c>
      <c r="H30" s="75">
        <f t="shared" si="2"/>
        <v>0.12780871071025068</v>
      </c>
      <c r="I30" s="74">
        <v>20.29</v>
      </c>
      <c r="J30" s="75">
        <v>0.33</v>
      </c>
      <c r="K30" s="74">
        <v>17.27</v>
      </c>
      <c r="L30" s="75">
        <v>0.33</v>
      </c>
      <c r="M30" s="74">
        <v>2.4</v>
      </c>
      <c r="N30" s="75">
        <v>0.33</v>
      </c>
      <c r="O30" s="74">
        <v>0.63</v>
      </c>
      <c r="P30" s="75">
        <v>0.33</v>
      </c>
      <c r="Q30" s="68"/>
    </row>
    <row r="31" spans="1:17" s="27" customFormat="1" ht="16.5" customHeight="1">
      <c r="A31" s="118">
        <v>3</v>
      </c>
      <c r="B31" s="23" t="s">
        <v>49</v>
      </c>
      <c r="C31" s="98" t="e">
        <f>E31+G31+#REF!</f>
        <v>#REF!</v>
      </c>
      <c r="D31" s="98" t="e">
        <f t="shared" si="0"/>
        <v>#REF!</v>
      </c>
      <c r="E31" s="98">
        <f>SUM(E32:E34)</f>
        <v>0</v>
      </c>
      <c r="F31" s="98">
        <f t="shared" si="1"/>
        <v>0</v>
      </c>
      <c r="G31" s="98">
        <f>SUM(G32:G34)</f>
        <v>0</v>
      </c>
      <c r="H31" s="98">
        <f t="shared" si="2"/>
        <v>0</v>
      </c>
      <c r="I31" s="117">
        <v>0</v>
      </c>
      <c r="J31" s="98">
        <v>0</v>
      </c>
      <c r="K31" s="117">
        <v>0</v>
      </c>
      <c r="L31" s="98">
        <v>0</v>
      </c>
      <c r="M31" s="117">
        <v>0</v>
      </c>
      <c r="N31" s="98">
        <v>0</v>
      </c>
      <c r="O31" s="117">
        <v>0</v>
      </c>
      <c r="P31" s="98">
        <v>0</v>
      </c>
      <c r="Q31" s="68"/>
    </row>
    <row r="32" spans="1:17" ht="16.5" customHeight="1" hidden="1">
      <c r="A32" s="97" t="s">
        <v>43</v>
      </c>
      <c r="B32" s="29" t="s">
        <v>44</v>
      </c>
      <c r="C32" s="98" t="e">
        <f>E32+G32+#REF!</f>
        <v>#REF!</v>
      </c>
      <c r="D32" s="98" t="e">
        <f t="shared" si="0"/>
        <v>#REF!</v>
      </c>
      <c r="E32" s="98">
        <v>0</v>
      </c>
      <c r="F32" s="98">
        <f t="shared" si="1"/>
        <v>0</v>
      </c>
      <c r="G32" s="98">
        <v>0</v>
      </c>
      <c r="H32" s="98">
        <f t="shared" si="2"/>
        <v>0</v>
      </c>
      <c r="I32" s="74">
        <v>0</v>
      </c>
      <c r="J32" s="75">
        <v>0</v>
      </c>
      <c r="K32" s="74">
        <v>0</v>
      </c>
      <c r="L32" s="75">
        <v>0</v>
      </c>
      <c r="M32" s="74">
        <v>0</v>
      </c>
      <c r="N32" s="75">
        <v>0</v>
      </c>
      <c r="O32" s="74">
        <v>0</v>
      </c>
      <c r="P32" s="75">
        <v>0</v>
      </c>
      <c r="Q32" s="68"/>
    </row>
    <row r="33" spans="1:17" ht="16.5" customHeight="1" hidden="1">
      <c r="A33" s="97" t="s">
        <v>45</v>
      </c>
      <c r="B33" s="29" t="s">
        <v>46</v>
      </c>
      <c r="C33" s="98" t="e">
        <f>E33+G33+#REF!</f>
        <v>#REF!</v>
      </c>
      <c r="D33" s="98" t="e">
        <f t="shared" si="0"/>
        <v>#REF!</v>
      </c>
      <c r="E33" s="98">
        <v>0</v>
      </c>
      <c r="F33" s="98">
        <f t="shared" si="1"/>
        <v>0</v>
      </c>
      <c r="G33" s="98">
        <v>0</v>
      </c>
      <c r="H33" s="98">
        <f t="shared" si="2"/>
        <v>0</v>
      </c>
      <c r="I33" s="74">
        <v>0</v>
      </c>
      <c r="J33" s="75">
        <v>0</v>
      </c>
      <c r="K33" s="74">
        <v>0</v>
      </c>
      <c r="L33" s="75">
        <v>0</v>
      </c>
      <c r="M33" s="74">
        <v>0</v>
      </c>
      <c r="N33" s="75">
        <v>0</v>
      </c>
      <c r="O33" s="74">
        <v>0</v>
      </c>
      <c r="P33" s="75">
        <v>0</v>
      </c>
      <c r="Q33" s="68"/>
    </row>
    <row r="34" spans="1:17" ht="16.5" customHeight="1" hidden="1">
      <c r="A34" s="97" t="s">
        <v>47</v>
      </c>
      <c r="B34" s="29" t="s">
        <v>131</v>
      </c>
      <c r="C34" s="98" t="e">
        <f>E34+G34+#REF!</f>
        <v>#REF!</v>
      </c>
      <c r="D34" s="98" t="e">
        <f t="shared" si="0"/>
        <v>#REF!</v>
      </c>
      <c r="E34" s="98">
        <v>0</v>
      </c>
      <c r="F34" s="98">
        <f t="shared" si="1"/>
        <v>0</v>
      </c>
      <c r="G34" s="98">
        <v>0</v>
      </c>
      <c r="H34" s="98">
        <f t="shared" si="2"/>
        <v>0</v>
      </c>
      <c r="I34" s="74">
        <v>0</v>
      </c>
      <c r="J34" s="75">
        <v>0</v>
      </c>
      <c r="K34" s="74">
        <v>0</v>
      </c>
      <c r="L34" s="75">
        <v>0</v>
      </c>
      <c r="M34" s="74">
        <v>0</v>
      </c>
      <c r="N34" s="75">
        <v>0</v>
      </c>
      <c r="O34" s="74">
        <v>0</v>
      </c>
      <c r="P34" s="75">
        <v>0</v>
      </c>
      <c r="Q34" s="68"/>
    </row>
    <row r="35" spans="1:17" s="27" customFormat="1" ht="16.5" customHeight="1">
      <c r="A35" s="118">
        <v>4</v>
      </c>
      <c r="B35" s="23" t="s">
        <v>50</v>
      </c>
      <c r="C35" s="98" t="e">
        <f>E35+G35+#REF!</f>
        <v>#REF!</v>
      </c>
      <c r="D35" s="98" t="e">
        <f t="shared" si="0"/>
        <v>#REF!</v>
      </c>
      <c r="E35" s="98">
        <v>0</v>
      </c>
      <c r="F35" s="98">
        <f t="shared" si="1"/>
        <v>0</v>
      </c>
      <c r="G35" s="98">
        <v>0</v>
      </c>
      <c r="H35" s="98">
        <f t="shared" si="2"/>
        <v>0</v>
      </c>
      <c r="I35" s="117">
        <v>0</v>
      </c>
      <c r="J35" s="98">
        <v>0</v>
      </c>
      <c r="K35" s="117">
        <v>0</v>
      </c>
      <c r="L35" s="98">
        <v>0</v>
      </c>
      <c r="M35" s="117">
        <v>0</v>
      </c>
      <c r="N35" s="98">
        <v>0</v>
      </c>
      <c r="O35" s="117">
        <v>0</v>
      </c>
      <c r="P35" s="98">
        <v>0</v>
      </c>
      <c r="Q35" s="68"/>
    </row>
    <row r="36" spans="1:17" s="27" customFormat="1" ht="16.5" customHeight="1">
      <c r="A36" s="118">
        <v>5</v>
      </c>
      <c r="B36" s="23" t="s">
        <v>51</v>
      </c>
      <c r="C36" s="98" t="e">
        <f>E36+G36+#REF!</f>
        <v>#REF!</v>
      </c>
      <c r="D36" s="98" t="e">
        <f t="shared" si="0"/>
        <v>#REF!</v>
      </c>
      <c r="E36" s="98">
        <v>0</v>
      </c>
      <c r="F36" s="98">
        <f t="shared" si="1"/>
        <v>0</v>
      </c>
      <c r="G36" s="98">
        <v>0</v>
      </c>
      <c r="H36" s="98">
        <f t="shared" si="2"/>
        <v>0</v>
      </c>
      <c r="I36" s="117">
        <v>0</v>
      </c>
      <c r="J36" s="98">
        <v>0</v>
      </c>
      <c r="K36" s="117">
        <v>0</v>
      </c>
      <c r="L36" s="98">
        <v>0</v>
      </c>
      <c r="M36" s="117">
        <v>0</v>
      </c>
      <c r="N36" s="98">
        <v>0</v>
      </c>
      <c r="O36" s="117">
        <v>0</v>
      </c>
      <c r="P36" s="98">
        <v>0</v>
      </c>
      <c r="Q36" s="68"/>
    </row>
    <row r="37" spans="1:17" s="27" customFormat="1" ht="16.5" customHeight="1">
      <c r="A37" s="118">
        <v>6</v>
      </c>
      <c r="B37" s="23" t="s">
        <v>132</v>
      </c>
      <c r="C37" s="98" t="e">
        <f>E37+G37+#REF!</f>
        <v>#REF!</v>
      </c>
      <c r="D37" s="98" t="e">
        <f>ROUND(C37/$C$47*1000,2)</f>
        <v>#REF!</v>
      </c>
      <c r="E37" s="98">
        <f>E27+E12</f>
        <v>7332.466135393245</v>
      </c>
      <c r="F37" s="98">
        <f>ROUND(E37/$E$47*1000,2)</f>
        <v>48.58</v>
      </c>
      <c r="G37" s="98">
        <f>G27+G12</f>
        <v>9016.97</v>
      </c>
      <c r="H37" s="98">
        <f>ROUND(G37/$G$47*1000,2)</f>
        <v>59.74</v>
      </c>
      <c r="I37" s="117">
        <v>2728.81</v>
      </c>
      <c r="J37" s="98">
        <v>44.51</v>
      </c>
      <c r="K37" s="117">
        <v>2322.67</v>
      </c>
      <c r="L37" s="98">
        <v>44.51</v>
      </c>
      <c r="M37" s="117">
        <v>322.06</v>
      </c>
      <c r="N37" s="98">
        <v>44.51</v>
      </c>
      <c r="O37" s="117">
        <v>84.08</v>
      </c>
      <c r="P37" s="98">
        <v>44.51</v>
      </c>
      <c r="Q37" s="68"/>
    </row>
    <row r="38" spans="1:17" s="27" customFormat="1" ht="16.5" customHeight="1">
      <c r="A38" s="118">
        <v>7</v>
      </c>
      <c r="B38" s="23" t="s">
        <v>53</v>
      </c>
      <c r="C38" s="98"/>
      <c r="D38" s="98"/>
      <c r="E38" s="98"/>
      <c r="F38" s="98"/>
      <c r="G38" s="98">
        <v>0</v>
      </c>
      <c r="H38" s="98">
        <v>0</v>
      </c>
      <c r="I38" s="117"/>
      <c r="J38" s="98"/>
      <c r="K38" s="117"/>
      <c r="L38" s="98"/>
      <c r="M38" s="117"/>
      <c r="N38" s="98"/>
      <c r="O38" s="117"/>
      <c r="P38" s="98"/>
      <c r="Q38" s="68"/>
    </row>
    <row r="39" spans="1:17" s="27" customFormat="1" ht="16.5" customHeight="1">
      <c r="A39" s="118">
        <v>8</v>
      </c>
      <c r="B39" s="23" t="s">
        <v>133</v>
      </c>
      <c r="C39" s="98" t="e">
        <f>E39+G39+#REF!</f>
        <v>#REF!</v>
      </c>
      <c r="D39" s="98" t="e">
        <f aca="true" t="shared" si="3" ref="D39:D44">ROUND(C39/$C$47*1000,2)</f>
        <v>#REF!</v>
      </c>
      <c r="E39" s="98">
        <f>SUM(E40:E44)</f>
        <v>0</v>
      </c>
      <c r="F39" s="98">
        <f aca="true" t="shared" si="4" ref="F39:F44">ROUND(E39/$E$47*1000,2)</f>
        <v>0</v>
      </c>
      <c r="G39" s="98">
        <f>SUM(G40:G44)</f>
        <v>0</v>
      </c>
      <c r="H39" s="98">
        <f aca="true" t="shared" si="5" ref="H39:H44">ROUND(G39/$G$47*1000,2)</f>
        <v>0</v>
      </c>
      <c r="I39" s="117">
        <v>0</v>
      </c>
      <c r="J39" s="98">
        <v>0</v>
      </c>
      <c r="K39" s="117">
        <v>0</v>
      </c>
      <c r="L39" s="98">
        <v>0</v>
      </c>
      <c r="M39" s="117">
        <v>0</v>
      </c>
      <c r="N39" s="98">
        <v>0</v>
      </c>
      <c r="O39" s="117">
        <v>0</v>
      </c>
      <c r="P39" s="98">
        <v>0</v>
      </c>
      <c r="Q39" s="68"/>
    </row>
    <row r="40" spans="1:17" ht="15.75">
      <c r="A40" s="97" t="s">
        <v>55</v>
      </c>
      <c r="B40" s="29" t="s">
        <v>56</v>
      </c>
      <c r="C40" s="75" t="e">
        <f>E40+G40+#REF!</f>
        <v>#REF!</v>
      </c>
      <c r="D40" s="75" t="e">
        <f t="shared" si="3"/>
        <v>#REF!</v>
      </c>
      <c r="E40" s="75">
        <v>0</v>
      </c>
      <c r="F40" s="75">
        <f t="shared" si="4"/>
        <v>0</v>
      </c>
      <c r="G40" s="75">
        <v>0</v>
      </c>
      <c r="H40" s="75">
        <f t="shared" si="5"/>
        <v>0</v>
      </c>
      <c r="I40" s="74">
        <v>0</v>
      </c>
      <c r="J40" s="75">
        <v>0</v>
      </c>
      <c r="K40" s="74">
        <v>0</v>
      </c>
      <c r="L40" s="75">
        <v>0</v>
      </c>
      <c r="M40" s="74">
        <v>0</v>
      </c>
      <c r="N40" s="75">
        <v>0</v>
      </c>
      <c r="O40" s="74">
        <v>0</v>
      </c>
      <c r="P40" s="75">
        <v>0</v>
      </c>
      <c r="Q40" s="68"/>
    </row>
    <row r="41" spans="1:17" ht="15.75" hidden="1">
      <c r="A41" s="97" t="s">
        <v>57</v>
      </c>
      <c r="B41" s="29" t="s">
        <v>58</v>
      </c>
      <c r="C41" s="75" t="e">
        <f>E41+G41+#REF!</f>
        <v>#REF!</v>
      </c>
      <c r="D41" s="75" t="e">
        <f t="shared" si="3"/>
        <v>#REF!</v>
      </c>
      <c r="E41" s="75">
        <v>0</v>
      </c>
      <c r="F41" s="75">
        <f t="shared" si="4"/>
        <v>0</v>
      </c>
      <c r="G41" s="75">
        <v>0</v>
      </c>
      <c r="H41" s="75">
        <f t="shared" si="5"/>
        <v>0</v>
      </c>
      <c r="I41" s="74">
        <v>0</v>
      </c>
      <c r="J41" s="75">
        <v>0</v>
      </c>
      <c r="K41" s="74">
        <v>0</v>
      </c>
      <c r="L41" s="75">
        <v>0</v>
      </c>
      <c r="M41" s="74">
        <v>0</v>
      </c>
      <c r="N41" s="75">
        <v>0</v>
      </c>
      <c r="O41" s="74">
        <v>0</v>
      </c>
      <c r="P41" s="75">
        <v>0</v>
      </c>
      <c r="Q41" s="68"/>
    </row>
    <row r="42" spans="1:17" ht="18.75" customHeight="1">
      <c r="A42" s="97" t="s">
        <v>59</v>
      </c>
      <c r="B42" s="29" t="str">
        <f>'Додаток2 скор'!B45</f>
        <v>резервний фонд (капітал) та дивіденди </v>
      </c>
      <c r="C42" s="75" t="e">
        <f>E42+G42+#REF!</f>
        <v>#REF!</v>
      </c>
      <c r="D42" s="75" t="e">
        <f t="shared" si="3"/>
        <v>#REF!</v>
      </c>
      <c r="E42" s="75">
        <v>0</v>
      </c>
      <c r="F42" s="75">
        <f t="shared" si="4"/>
        <v>0</v>
      </c>
      <c r="G42" s="75">
        <v>0</v>
      </c>
      <c r="H42" s="75">
        <f t="shared" si="5"/>
        <v>0</v>
      </c>
      <c r="I42" s="74">
        <v>0</v>
      </c>
      <c r="J42" s="75">
        <v>0</v>
      </c>
      <c r="K42" s="74">
        <v>0</v>
      </c>
      <c r="L42" s="75">
        <v>0</v>
      </c>
      <c r="M42" s="74">
        <v>0</v>
      </c>
      <c r="N42" s="75">
        <v>0</v>
      </c>
      <c r="O42" s="74">
        <v>0</v>
      </c>
      <c r="P42" s="75">
        <v>0</v>
      </c>
      <c r="Q42" s="68"/>
    </row>
    <row r="43" spans="1:17" s="120" customFormat="1" ht="15.75">
      <c r="A43" s="97" t="s">
        <v>60</v>
      </c>
      <c r="B43" s="29" t="s">
        <v>61</v>
      </c>
      <c r="C43" s="75" t="e">
        <f>E43+G43+#REF!</f>
        <v>#REF!</v>
      </c>
      <c r="D43" s="75" t="e">
        <f t="shared" si="3"/>
        <v>#REF!</v>
      </c>
      <c r="E43" s="75">
        <v>0</v>
      </c>
      <c r="F43" s="75">
        <f t="shared" si="4"/>
        <v>0</v>
      </c>
      <c r="G43" s="75">
        <v>0</v>
      </c>
      <c r="H43" s="75">
        <f t="shared" si="5"/>
        <v>0</v>
      </c>
      <c r="I43" s="74">
        <v>0</v>
      </c>
      <c r="J43" s="75">
        <v>0</v>
      </c>
      <c r="K43" s="74">
        <v>0</v>
      </c>
      <c r="L43" s="75">
        <v>0</v>
      </c>
      <c r="M43" s="74">
        <v>0</v>
      </c>
      <c r="N43" s="75">
        <v>0</v>
      </c>
      <c r="O43" s="74">
        <v>0</v>
      </c>
      <c r="P43" s="75">
        <v>0</v>
      </c>
      <c r="Q43" s="68"/>
    </row>
    <row r="44" spans="1:17" ht="18.75" customHeight="1">
      <c r="A44" s="97" t="s">
        <v>62</v>
      </c>
      <c r="B44" s="29" t="s">
        <v>134</v>
      </c>
      <c r="C44" s="75" t="e">
        <f>E44+G44+#REF!</f>
        <v>#REF!</v>
      </c>
      <c r="D44" s="75" t="e">
        <f t="shared" si="3"/>
        <v>#REF!</v>
      </c>
      <c r="E44" s="75">
        <v>0</v>
      </c>
      <c r="F44" s="75">
        <f t="shared" si="4"/>
        <v>0</v>
      </c>
      <c r="G44" s="75">
        <v>0</v>
      </c>
      <c r="H44" s="75">
        <f t="shared" si="5"/>
        <v>0</v>
      </c>
      <c r="I44" s="74">
        <v>0</v>
      </c>
      <c r="J44" s="75">
        <v>0</v>
      </c>
      <c r="K44" s="74">
        <v>0</v>
      </c>
      <c r="L44" s="75">
        <v>0</v>
      </c>
      <c r="M44" s="74">
        <v>0</v>
      </c>
      <c r="N44" s="75">
        <v>0</v>
      </c>
      <c r="O44" s="74">
        <v>0</v>
      </c>
      <c r="P44" s="75">
        <v>0</v>
      </c>
      <c r="Q44" s="68"/>
    </row>
    <row r="45" spans="1:17" s="27" customFormat="1" ht="31.5">
      <c r="A45" s="118" t="s">
        <v>135</v>
      </c>
      <c r="B45" s="23" t="s">
        <v>136</v>
      </c>
      <c r="C45" s="98" t="e">
        <f>E45+G45+#REF!</f>
        <v>#REF!</v>
      </c>
      <c r="D45" s="98" t="e">
        <f>D37+D39</f>
        <v>#REF!</v>
      </c>
      <c r="E45" s="98">
        <f>E39+E37</f>
        <v>7332.466135393245</v>
      </c>
      <c r="F45" s="98">
        <f>F37+F39</f>
        <v>48.58</v>
      </c>
      <c r="G45" s="98">
        <f>G39+G37</f>
        <v>9016.97</v>
      </c>
      <c r="H45" s="98">
        <f>H37+H39</f>
        <v>59.74</v>
      </c>
      <c r="I45" s="117">
        <v>2728.81</v>
      </c>
      <c r="J45" s="98">
        <v>44.51</v>
      </c>
      <c r="K45" s="117">
        <v>2322.67</v>
      </c>
      <c r="L45" s="98">
        <v>44.51</v>
      </c>
      <c r="M45" s="117">
        <v>322.06</v>
      </c>
      <c r="N45" s="98">
        <v>44.51</v>
      </c>
      <c r="O45" s="117">
        <v>84.08</v>
      </c>
      <c r="P45" s="98">
        <v>44.51</v>
      </c>
      <c r="Q45" s="68"/>
    </row>
    <row r="46" spans="1:16" s="27" customFormat="1" ht="15.75">
      <c r="A46" s="118" t="s">
        <v>137</v>
      </c>
      <c r="B46" s="23" t="s">
        <v>138</v>
      </c>
      <c r="C46" s="98"/>
      <c r="D46" s="98" t="e">
        <f>D45</f>
        <v>#REF!</v>
      </c>
      <c r="E46" s="98"/>
      <c r="F46" s="98">
        <f>F45</f>
        <v>48.58</v>
      </c>
      <c r="G46" s="98"/>
      <c r="H46" s="98">
        <f>H45</f>
        <v>59.74</v>
      </c>
      <c r="I46" s="98">
        <v>44.51</v>
      </c>
      <c r="J46" s="98">
        <v>44.51</v>
      </c>
      <c r="K46" s="98">
        <v>44.51</v>
      </c>
      <c r="L46" s="98">
        <v>44.51</v>
      </c>
      <c r="M46" s="98">
        <v>44.51</v>
      </c>
      <c r="N46" s="98">
        <v>44.51</v>
      </c>
      <c r="O46" s="98">
        <v>44.51</v>
      </c>
      <c r="P46" s="98">
        <v>44.51</v>
      </c>
    </row>
    <row r="47" spans="1:16" s="27" customFormat="1" ht="31.5">
      <c r="A47" s="96">
        <v>11</v>
      </c>
      <c r="B47" s="23" t="s">
        <v>139</v>
      </c>
      <c r="C47" s="98" t="e">
        <f>E47+G47+#REF!</f>
        <v>#REF!</v>
      </c>
      <c r="D47" s="98"/>
      <c r="E47" s="98">
        <v>150928.68</v>
      </c>
      <c r="F47" s="98"/>
      <c r="G47" s="98">
        <v>150928.68</v>
      </c>
      <c r="H47" s="98"/>
      <c r="I47" s="98">
        <v>61301.9</v>
      </c>
      <c r="J47" s="98">
        <v>0</v>
      </c>
      <c r="K47" s="98">
        <v>52178.1</v>
      </c>
      <c r="L47" s="98">
        <v>0</v>
      </c>
      <c r="M47" s="98">
        <v>7235</v>
      </c>
      <c r="N47" s="121">
        <v>0</v>
      </c>
      <c r="O47" s="98">
        <v>1888.8</v>
      </c>
      <c r="P47" s="121">
        <v>0</v>
      </c>
    </row>
    <row r="48" spans="1:8" ht="15.75">
      <c r="A48" s="97" t="s">
        <v>140</v>
      </c>
      <c r="B48" s="29" t="s">
        <v>141</v>
      </c>
      <c r="C48" s="75" t="e">
        <f>E48+G48+#REF!</f>
        <v>#REF!</v>
      </c>
      <c r="D48" s="75"/>
      <c r="E48" s="75">
        <f>E47-E49</f>
        <v>0</v>
      </c>
      <c r="F48" s="75"/>
      <c r="G48" s="75">
        <f>G47-G49</f>
        <v>0</v>
      </c>
      <c r="H48" s="75"/>
    </row>
    <row r="49" spans="1:8" ht="15.75">
      <c r="A49" s="97" t="s">
        <v>142</v>
      </c>
      <c r="B49" s="29" t="s">
        <v>143</v>
      </c>
      <c r="C49" s="75" t="e">
        <f>E49+G49+#REF!</f>
        <v>#REF!</v>
      </c>
      <c r="D49" s="75"/>
      <c r="E49" s="75">
        <f>'Додаток2 скор'!H50</f>
        <v>150928.68</v>
      </c>
      <c r="F49" s="75"/>
      <c r="G49" s="75">
        <v>150928.68</v>
      </c>
      <c r="H49" s="75"/>
    </row>
    <row r="50" spans="1:8" ht="15.75" customHeight="1" hidden="1">
      <c r="A50" s="122" t="s">
        <v>144</v>
      </c>
      <c r="B50" s="123" t="s">
        <v>145</v>
      </c>
      <c r="C50" s="124"/>
      <c r="D50" s="124">
        <v>727042</v>
      </c>
      <c r="E50" s="124">
        <v>99069</v>
      </c>
      <c r="F50" s="124">
        <v>43200</v>
      </c>
      <c r="G50" s="125"/>
      <c r="H50" s="125"/>
    </row>
    <row r="51" spans="1:8" ht="17.25" customHeight="1" hidden="1">
      <c r="A51" s="126" t="s">
        <v>146</v>
      </c>
      <c r="B51" s="127" t="s">
        <v>147</v>
      </c>
      <c r="C51" s="128"/>
      <c r="D51" s="128"/>
      <c r="E51" s="128"/>
      <c r="F51" s="128"/>
      <c r="G51" s="129">
        <v>99069</v>
      </c>
      <c r="H51" s="129"/>
    </row>
    <row r="52" spans="1:8" ht="14.25" customHeight="1" hidden="1">
      <c r="A52" s="130" t="s">
        <v>148</v>
      </c>
      <c r="B52" s="127" t="s">
        <v>149</v>
      </c>
      <c r="C52" s="128"/>
      <c r="D52" s="128"/>
      <c r="E52" s="128"/>
      <c r="F52" s="128"/>
      <c r="G52" s="129"/>
      <c r="H52" s="131">
        <v>43200</v>
      </c>
    </row>
    <row r="53" spans="1:8" ht="27.75" hidden="1">
      <c r="A53" s="69">
        <v>13</v>
      </c>
      <c r="B53" s="127" t="s">
        <v>150</v>
      </c>
      <c r="C53" s="128"/>
      <c r="D53" s="128"/>
      <c r="E53" s="128"/>
      <c r="F53" s="128"/>
      <c r="G53" s="129"/>
      <c r="H53" s="129"/>
    </row>
    <row r="54" spans="1:17" ht="40.5" hidden="1">
      <c r="A54" s="132">
        <v>14</v>
      </c>
      <c r="B54" s="133" t="s">
        <v>151</v>
      </c>
      <c r="C54" s="134"/>
      <c r="D54" s="134"/>
      <c r="E54" s="134"/>
      <c r="F54" s="134"/>
      <c r="G54" s="135"/>
      <c r="H54" s="135"/>
      <c r="I54" s="93"/>
      <c r="J54" s="93"/>
      <c r="M54" s="93"/>
      <c r="N54" s="93"/>
      <c r="O54" s="93"/>
      <c r="P54" s="93"/>
      <c r="Q54" s="93"/>
    </row>
    <row r="55" spans="1:8" ht="15.75">
      <c r="A55" s="136">
        <v>12</v>
      </c>
      <c r="B55" s="137" t="s">
        <v>108</v>
      </c>
      <c r="C55" s="102" t="e">
        <f>C39/C37*100</f>
        <v>#REF!</v>
      </c>
      <c r="D55" s="102" t="e">
        <f>D39/D37*100</f>
        <v>#REF!</v>
      </c>
      <c r="E55" s="102">
        <f>E39/E37*100</f>
        <v>0</v>
      </c>
      <c r="F55" s="102">
        <f>F39/F37*100</f>
        <v>0</v>
      </c>
      <c r="G55" s="102">
        <f>G39/G37*100</f>
        <v>0</v>
      </c>
      <c r="H55" s="102">
        <f>ROUND(H39/H37*100,0)</f>
        <v>0</v>
      </c>
    </row>
    <row r="56" spans="1:8" ht="25.5" customHeight="1">
      <c r="A56" s="138"/>
      <c r="B56" s="138"/>
      <c r="C56" s="139"/>
      <c r="D56" s="139"/>
      <c r="E56" s="139"/>
      <c r="F56" s="139"/>
      <c r="G56" s="140"/>
      <c r="H56" s="139"/>
    </row>
    <row r="57" spans="1:8" s="143" customFormat="1" ht="15" hidden="1">
      <c r="A57" s="141"/>
      <c r="B57" s="142" t="s">
        <v>66</v>
      </c>
      <c r="C57" s="141"/>
      <c r="D57" s="141"/>
      <c r="E57" s="141"/>
      <c r="F57" s="141"/>
      <c r="G57" s="140"/>
      <c r="H57" s="141"/>
    </row>
    <row r="58" spans="1:8" s="44" customFormat="1" ht="55.5" customHeight="1">
      <c r="A58" s="300"/>
      <c r="B58" s="300"/>
      <c r="C58" s="300"/>
      <c r="D58" s="300"/>
      <c r="E58" s="300"/>
      <c r="F58" s="144"/>
      <c r="G58" s="145"/>
      <c r="H58" s="92"/>
    </row>
  </sheetData>
  <sheetProtection selectLockedCells="1" selectUnlockedCells="1"/>
  <mergeCells count="13">
    <mergeCell ref="I8:J9"/>
    <mergeCell ref="K8:L9"/>
    <mergeCell ref="M8:N9"/>
    <mergeCell ref="O8:P9"/>
    <mergeCell ref="A58:E58"/>
    <mergeCell ref="A5:H5"/>
    <mergeCell ref="A6:H6"/>
    <mergeCell ref="B7:H7"/>
    <mergeCell ref="A8:A10"/>
    <mergeCell ref="B8:B10"/>
    <mergeCell ref="C8:D9"/>
    <mergeCell ref="E8:F9"/>
    <mergeCell ref="G8:H9"/>
  </mergeCells>
  <printOptions horizontalCentered="1"/>
  <pageMargins left="0.20972222222222223" right="0.25972222222222224" top="0.25972222222222224" bottom="0.3541666666666667" header="0.5118055555555555" footer="0.5118055555555555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Q51"/>
  <sheetViews>
    <sheetView tabSelected="1" view="pageBreakPreview" zoomScale="87" zoomScaleSheetLayoutView="87" zoomScalePageLayoutView="0" workbookViewId="0" topLeftCell="A1">
      <selection activeCell="A51" sqref="A51:H51"/>
    </sheetView>
  </sheetViews>
  <sheetFormatPr defaultColWidth="11.57421875" defaultRowHeight="12.75"/>
  <cols>
    <col min="1" max="1" width="7.28125" style="2" customWidth="1"/>
    <col min="2" max="2" width="72.140625" style="2" customWidth="1"/>
    <col min="3" max="6" width="0" style="2" hidden="1" customWidth="1"/>
    <col min="7" max="7" width="20.421875" style="2" customWidth="1"/>
    <col min="8" max="8" width="22.00390625" style="2" customWidth="1"/>
    <col min="9" max="16" width="0" style="2" hidden="1" customWidth="1"/>
    <col min="17" max="17" width="7.00390625" style="2" customWidth="1"/>
    <col min="18" max="254" width="11.57421875" style="2" customWidth="1"/>
  </cols>
  <sheetData>
    <row r="1" spans="3:8" ht="16.5">
      <c r="C1" s="146"/>
      <c r="D1" s="147"/>
      <c r="E1" s="147"/>
      <c r="H1" s="5" t="s">
        <v>152</v>
      </c>
    </row>
    <row r="2" spans="1:17" ht="19.5">
      <c r="A2" s="148"/>
      <c r="B2" s="148"/>
      <c r="C2" s="149"/>
      <c r="D2" s="150"/>
      <c r="E2" s="150"/>
      <c r="F2" s="148"/>
      <c r="G2" s="148"/>
      <c r="H2" s="111"/>
      <c r="I2" s="148"/>
      <c r="J2" s="148"/>
      <c r="K2" s="148"/>
      <c r="L2" s="148"/>
      <c r="M2" s="148"/>
      <c r="N2" s="148"/>
      <c r="O2" s="148"/>
      <c r="P2" s="148"/>
      <c r="Q2" s="148"/>
    </row>
    <row r="3" spans="3:8" ht="16.5">
      <c r="C3" s="146"/>
      <c r="D3" s="147"/>
      <c r="E3" s="147"/>
      <c r="H3" s="11"/>
    </row>
    <row r="4" spans="1:17" ht="18.75" customHeight="1">
      <c r="A4" s="112"/>
      <c r="B4" s="15"/>
      <c r="C4" s="151"/>
      <c r="D4" s="152"/>
      <c r="E4" s="152"/>
      <c r="I4" s="153"/>
      <c r="J4" s="153"/>
      <c r="K4" s="153"/>
      <c r="L4" s="153"/>
      <c r="M4" s="153"/>
      <c r="N4" s="153"/>
      <c r="O4" s="153"/>
      <c r="P4" s="153"/>
      <c r="Q4" s="153"/>
    </row>
    <row r="5" spans="1:8" ht="20.25" customHeight="1">
      <c r="A5" s="302" t="s">
        <v>154</v>
      </c>
      <c r="B5" s="302"/>
      <c r="C5" s="302"/>
      <c r="D5" s="302"/>
      <c r="E5" s="302"/>
      <c r="F5" s="302"/>
      <c r="G5" s="302"/>
      <c r="H5" s="302"/>
    </row>
    <row r="6" spans="1:9" ht="18.75" customHeight="1">
      <c r="A6" s="302" t="str">
        <f>Додаток1!A6</f>
        <v>КП "Лисичанськтепломережа"</v>
      </c>
      <c r="B6" s="302"/>
      <c r="C6" s="302"/>
      <c r="D6" s="302"/>
      <c r="E6" s="302"/>
      <c r="F6" s="302"/>
      <c r="G6" s="302"/>
      <c r="H6" s="302"/>
      <c r="I6" s="154"/>
    </row>
    <row r="7" spans="1:8" ht="18.75">
      <c r="A7" s="10"/>
      <c r="B7" s="303"/>
      <c r="C7" s="303"/>
      <c r="D7" s="303"/>
      <c r="E7" s="303"/>
      <c r="F7" s="303"/>
      <c r="G7" s="303"/>
      <c r="H7" s="303"/>
    </row>
    <row r="8" spans="1:16" ht="58.5" customHeight="1">
      <c r="A8" s="299" t="s">
        <v>2</v>
      </c>
      <c r="B8" s="299" t="s">
        <v>3</v>
      </c>
      <c r="C8" s="299" t="s">
        <v>121</v>
      </c>
      <c r="D8" s="299"/>
      <c r="E8" s="299" t="s">
        <v>5</v>
      </c>
      <c r="F8" s="299"/>
      <c r="G8" s="299" t="s">
        <v>155</v>
      </c>
      <c r="H8" s="299"/>
      <c r="I8" s="314" t="s">
        <v>122</v>
      </c>
      <c r="J8" s="314"/>
      <c r="K8" s="314" t="s">
        <v>5</v>
      </c>
      <c r="L8" s="314"/>
      <c r="M8" s="314" t="s">
        <v>156</v>
      </c>
      <c r="N8" s="314"/>
      <c r="O8" s="314" t="s">
        <v>157</v>
      </c>
      <c r="P8" s="314"/>
    </row>
    <row r="9" spans="1:16" ht="42" customHeight="1">
      <c r="A9" s="299"/>
      <c r="B9" s="299"/>
      <c r="C9" s="17" t="s">
        <v>6</v>
      </c>
      <c r="D9" s="17" t="s">
        <v>7</v>
      </c>
      <c r="E9" s="17" t="s">
        <v>6</v>
      </c>
      <c r="F9" s="17" t="s">
        <v>7</v>
      </c>
      <c r="G9" s="17" t="s">
        <v>6</v>
      </c>
      <c r="H9" s="17" t="s">
        <v>7</v>
      </c>
      <c r="I9" s="17" t="s">
        <v>83</v>
      </c>
      <c r="J9" s="17" t="s">
        <v>7</v>
      </c>
      <c r="K9" s="17" t="s">
        <v>83</v>
      </c>
      <c r="L9" s="17" t="s">
        <v>7</v>
      </c>
      <c r="M9" s="17" t="s">
        <v>83</v>
      </c>
      <c r="N9" s="17" t="s">
        <v>7</v>
      </c>
      <c r="O9" s="17" t="s">
        <v>83</v>
      </c>
      <c r="P9" s="17" t="s">
        <v>7</v>
      </c>
    </row>
    <row r="10" spans="1:16" ht="13.5" customHeight="1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3</v>
      </c>
      <c r="H10" s="69">
        <v>4</v>
      </c>
      <c r="I10" s="69">
        <v>3</v>
      </c>
      <c r="J10" s="69">
        <v>4</v>
      </c>
      <c r="K10" s="69">
        <v>5</v>
      </c>
      <c r="L10" s="69">
        <v>6</v>
      </c>
      <c r="M10" s="69">
        <v>7</v>
      </c>
      <c r="N10" s="69">
        <v>8</v>
      </c>
      <c r="O10" s="69">
        <v>9</v>
      </c>
      <c r="P10" s="155">
        <v>10</v>
      </c>
    </row>
    <row r="11" spans="1:17" s="27" customFormat="1" ht="18" customHeight="1">
      <c r="A11" s="96">
        <v>1</v>
      </c>
      <c r="B11" s="23" t="s">
        <v>8</v>
      </c>
      <c r="C11" s="63" t="e">
        <f>E11+G11+#REF!</f>
        <v>#REF!</v>
      </c>
      <c r="D11" s="99" t="e">
        <f aca="true" t="shared" si="0" ref="D11:D31">C11/$C$42*1000</f>
        <v>#REF!</v>
      </c>
      <c r="E11" s="63">
        <f>E13+E14+E12+E18</f>
        <v>160.54900464315213</v>
      </c>
      <c r="F11" s="99">
        <f aca="true" t="shared" si="1" ref="F11:F31">E11/$E$42*1000</f>
        <v>1.0637408651765334</v>
      </c>
      <c r="G11" s="99">
        <f>G13+G14+G12+G18</f>
        <v>200.48</v>
      </c>
      <c r="H11" s="99">
        <f aca="true" t="shared" si="2" ref="H11:H31">G11/$G$42*1000</f>
        <v>1.3283095035350472</v>
      </c>
      <c r="I11" s="156">
        <v>281.63</v>
      </c>
      <c r="J11" s="157">
        <v>4.59</v>
      </c>
      <c r="K11" s="156">
        <v>239.72</v>
      </c>
      <c r="L11" s="157">
        <v>4.59</v>
      </c>
      <c r="M11" s="158">
        <v>33.24</v>
      </c>
      <c r="N11" s="157">
        <v>4.59</v>
      </c>
      <c r="O11" s="158">
        <v>8.68</v>
      </c>
      <c r="P11" s="157">
        <v>4.59</v>
      </c>
      <c r="Q11" s="68"/>
    </row>
    <row r="12" spans="1:17" s="27" customFormat="1" ht="18" customHeight="1">
      <c r="A12" s="96" t="s">
        <v>9</v>
      </c>
      <c r="B12" s="23" t="s">
        <v>158</v>
      </c>
      <c r="C12" s="63" t="e">
        <f>E12+G12+#REF!</f>
        <v>#REF!</v>
      </c>
      <c r="D12" s="99" t="e">
        <f t="shared" si="0"/>
        <v>#REF!</v>
      </c>
      <c r="E12" s="63">
        <v>0.09866535837704887</v>
      </c>
      <c r="F12" s="99">
        <f t="shared" si="1"/>
        <v>0.0006537217338483904</v>
      </c>
      <c r="G12" s="99">
        <v>0.1</v>
      </c>
      <c r="H12" s="99">
        <f t="shared" si="2"/>
        <v>0.0006625645967353588</v>
      </c>
      <c r="I12" s="156">
        <v>0</v>
      </c>
      <c r="J12" s="157">
        <v>0</v>
      </c>
      <c r="K12" s="156">
        <v>0</v>
      </c>
      <c r="L12" s="157">
        <v>0</v>
      </c>
      <c r="M12" s="158">
        <v>0</v>
      </c>
      <c r="N12" s="157">
        <v>0</v>
      </c>
      <c r="O12" s="158">
        <v>0</v>
      </c>
      <c r="P12" s="157">
        <v>0</v>
      </c>
      <c r="Q12" s="68"/>
    </row>
    <row r="13" spans="1:17" s="27" customFormat="1" ht="18" customHeight="1">
      <c r="A13" s="96" t="s">
        <v>25</v>
      </c>
      <c r="B13" s="23" t="s">
        <v>159</v>
      </c>
      <c r="C13" s="63" t="e">
        <f>E13+G13+#REF!</f>
        <v>#REF!</v>
      </c>
      <c r="D13" s="99" t="e">
        <f t="shared" si="0"/>
        <v>#REF!</v>
      </c>
      <c r="E13" s="63">
        <v>114.9582527889279</v>
      </c>
      <c r="F13" s="99">
        <f t="shared" si="1"/>
        <v>0.7616726840049745</v>
      </c>
      <c r="G13" s="99">
        <v>197.16</v>
      </c>
      <c r="H13" s="99">
        <f t="shared" si="2"/>
        <v>1.3063123589234333</v>
      </c>
      <c r="I13" s="156">
        <v>199.1</v>
      </c>
      <c r="J13" s="157">
        <v>3.25</v>
      </c>
      <c r="K13" s="156">
        <v>169.46</v>
      </c>
      <c r="L13" s="157">
        <v>3.25</v>
      </c>
      <c r="M13" s="158">
        <v>23.5</v>
      </c>
      <c r="N13" s="157">
        <v>3.25</v>
      </c>
      <c r="O13" s="158">
        <v>6.13</v>
      </c>
      <c r="P13" s="157">
        <v>3.25</v>
      </c>
      <c r="Q13" s="68"/>
    </row>
    <row r="14" spans="1:17" s="27" customFormat="1" ht="18" customHeight="1">
      <c r="A14" s="96" t="s">
        <v>27</v>
      </c>
      <c r="B14" s="23" t="s">
        <v>127</v>
      </c>
      <c r="C14" s="63" t="e">
        <f>E14+G14+#REF!</f>
        <v>#REF!</v>
      </c>
      <c r="D14" s="99" t="e">
        <f t="shared" si="0"/>
        <v>#REF!</v>
      </c>
      <c r="E14" s="63">
        <f>SUM(E15:E17)</f>
        <v>43.97316695168872</v>
      </c>
      <c r="F14" s="99">
        <f t="shared" si="1"/>
        <v>0.2913506362852224</v>
      </c>
      <c r="G14" s="99">
        <f>SUM(G15:G17)</f>
        <v>1.37</v>
      </c>
      <c r="H14" s="99">
        <f t="shared" si="2"/>
        <v>0.009077134975274416</v>
      </c>
      <c r="I14" s="156">
        <v>82.54</v>
      </c>
      <c r="J14" s="157">
        <v>1.35</v>
      </c>
      <c r="K14" s="156">
        <v>70.25</v>
      </c>
      <c r="L14" s="157">
        <v>1.35</v>
      </c>
      <c r="M14" s="158">
        <v>9.74</v>
      </c>
      <c r="N14" s="157">
        <v>1.35</v>
      </c>
      <c r="O14" s="158">
        <v>2.54</v>
      </c>
      <c r="P14" s="157">
        <v>1.35</v>
      </c>
      <c r="Q14" s="68"/>
    </row>
    <row r="15" spans="1:17" s="34" customFormat="1" ht="18" customHeight="1" hidden="1">
      <c r="A15" s="97" t="s">
        <v>29</v>
      </c>
      <c r="B15" s="29"/>
      <c r="C15" s="70" t="e">
        <f>E15+G15+#REF!</f>
        <v>#REF!</v>
      </c>
      <c r="D15" s="159" t="e">
        <f t="shared" si="0"/>
        <v>#REF!</v>
      </c>
      <c r="E15" s="70">
        <v>42.603530836448165</v>
      </c>
      <c r="F15" s="159">
        <f t="shared" si="1"/>
        <v>0.28227591228153703</v>
      </c>
      <c r="G15" s="159"/>
      <c r="H15" s="159">
        <f t="shared" si="2"/>
        <v>0</v>
      </c>
      <c r="I15" s="160">
        <v>73.79</v>
      </c>
      <c r="J15" s="161">
        <v>1.2</v>
      </c>
      <c r="K15" s="160">
        <v>62.8</v>
      </c>
      <c r="L15" s="161">
        <v>1.2</v>
      </c>
      <c r="M15" s="162">
        <v>8.71</v>
      </c>
      <c r="N15" s="161">
        <v>1.2</v>
      </c>
      <c r="O15" s="162">
        <v>2.27</v>
      </c>
      <c r="P15" s="161">
        <v>1.2</v>
      </c>
      <c r="Q15" s="68"/>
    </row>
    <row r="16" spans="1:17" s="34" customFormat="1" ht="18" customHeight="1">
      <c r="A16" s="97" t="s">
        <v>29</v>
      </c>
      <c r="B16" s="29" t="s">
        <v>30</v>
      </c>
      <c r="C16" s="70" t="e">
        <f>E16+G16+#REF!</f>
        <v>#REF!</v>
      </c>
      <c r="D16" s="159" t="e">
        <f t="shared" si="0"/>
        <v>#REF!</v>
      </c>
      <c r="E16" s="70">
        <v>0.8759176528601235</v>
      </c>
      <c r="F16" s="159">
        <f t="shared" si="1"/>
        <v>0.005803520264406496</v>
      </c>
      <c r="G16" s="159">
        <v>0.88</v>
      </c>
      <c r="H16" s="159">
        <f t="shared" si="2"/>
        <v>0.005830568451271157</v>
      </c>
      <c r="I16" s="160">
        <v>0.4</v>
      </c>
      <c r="J16" s="161">
        <v>0.01</v>
      </c>
      <c r="K16" s="160">
        <v>0.34</v>
      </c>
      <c r="L16" s="161">
        <v>0.01</v>
      </c>
      <c r="M16" s="162">
        <v>0.05</v>
      </c>
      <c r="N16" s="161">
        <v>0.01</v>
      </c>
      <c r="O16" s="162">
        <v>0.01</v>
      </c>
      <c r="P16" s="161">
        <v>0.01</v>
      </c>
      <c r="Q16" s="68"/>
    </row>
    <row r="17" spans="1:17" s="34" customFormat="1" ht="18" customHeight="1">
      <c r="A17" s="97" t="s">
        <v>31</v>
      </c>
      <c r="B17" s="29" t="s">
        <v>32</v>
      </c>
      <c r="C17" s="70" t="e">
        <f>E17+G17+#REF!</f>
        <v>#REF!</v>
      </c>
      <c r="D17" s="159" t="e">
        <f t="shared" si="0"/>
        <v>#REF!</v>
      </c>
      <c r="E17" s="70">
        <v>0.4937184623804256</v>
      </c>
      <c r="F17" s="159">
        <f t="shared" si="1"/>
        <v>0.0032712037392788806</v>
      </c>
      <c r="G17" s="159">
        <v>0.49</v>
      </c>
      <c r="H17" s="159">
        <f t="shared" si="2"/>
        <v>0.0032465665240032577</v>
      </c>
      <c r="I17" s="160">
        <v>8.35</v>
      </c>
      <c r="J17" s="161">
        <v>0.14</v>
      </c>
      <c r="K17" s="160">
        <v>7.11</v>
      </c>
      <c r="L17" s="161">
        <v>0.14</v>
      </c>
      <c r="M17" s="162">
        <v>0.99</v>
      </c>
      <c r="N17" s="161">
        <v>0.14</v>
      </c>
      <c r="O17" s="162">
        <v>0.26</v>
      </c>
      <c r="P17" s="161">
        <v>0.14</v>
      </c>
      <c r="Q17" s="68"/>
    </row>
    <row r="18" spans="1:17" s="27" customFormat="1" ht="18" customHeight="1">
      <c r="A18" s="96" t="s">
        <v>33</v>
      </c>
      <c r="B18" s="23" t="s">
        <v>128</v>
      </c>
      <c r="C18" s="63" t="e">
        <f>E18+G18+#REF!</f>
        <v>#REF!</v>
      </c>
      <c r="D18" s="99" t="e">
        <f t="shared" si="0"/>
        <v>#REF!</v>
      </c>
      <c r="E18" s="63">
        <f>SUM(E19:E21)</f>
        <v>1.5189195441584904</v>
      </c>
      <c r="F18" s="99">
        <f t="shared" si="1"/>
        <v>0.01006382315248825</v>
      </c>
      <c r="G18" s="99">
        <f>SUM(G19:G21)</f>
        <v>1.8499999999999999</v>
      </c>
      <c r="H18" s="99">
        <f t="shared" si="2"/>
        <v>0.012257445039604135</v>
      </c>
      <c r="I18" s="156">
        <v>0</v>
      </c>
      <c r="J18" s="157">
        <v>0</v>
      </c>
      <c r="K18" s="156">
        <v>0</v>
      </c>
      <c r="L18" s="157">
        <v>0</v>
      </c>
      <c r="M18" s="158">
        <v>0</v>
      </c>
      <c r="N18" s="157">
        <v>0</v>
      </c>
      <c r="O18" s="158">
        <v>0</v>
      </c>
      <c r="P18" s="157">
        <v>0</v>
      </c>
      <c r="Q18" s="68"/>
    </row>
    <row r="19" spans="1:17" s="34" customFormat="1" ht="18" customHeight="1">
      <c r="A19" s="97" t="s">
        <v>35</v>
      </c>
      <c r="B19" s="29" t="s">
        <v>160</v>
      </c>
      <c r="C19" s="70" t="e">
        <f>E19+G19+#REF!</f>
        <v>#REF!</v>
      </c>
      <c r="D19" s="159" t="e">
        <f t="shared" si="0"/>
        <v>#REF!</v>
      </c>
      <c r="E19" s="70">
        <v>0.9685457570993837</v>
      </c>
      <c r="F19" s="159">
        <f t="shared" si="1"/>
        <v>0.006417241289722959</v>
      </c>
      <c r="G19" s="159">
        <v>1.66</v>
      </c>
      <c r="H19" s="159">
        <f t="shared" si="2"/>
        <v>0.010998572305806954</v>
      </c>
      <c r="I19" s="160">
        <v>0</v>
      </c>
      <c r="J19" s="161">
        <v>0</v>
      </c>
      <c r="K19" s="160">
        <v>0</v>
      </c>
      <c r="L19" s="161">
        <v>0</v>
      </c>
      <c r="M19" s="162">
        <v>0</v>
      </c>
      <c r="N19" s="161">
        <v>0</v>
      </c>
      <c r="O19" s="162">
        <v>0</v>
      </c>
      <c r="P19" s="161">
        <v>0</v>
      </c>
      <c r="Q19" s="68"/>
    </row>
    <row r="20" spans="1:17" s="34" customFormat="1" ht="18" customHeight="1" hidden="1">
      <c r="A20" s="97" t="s">
        <v>37</v>
      </c>
      <c r="B20" s="29"/>
      <c r="C20" s="70" t="e">
        <f>E20+G20+#REF!</f>
        <v>#REF!</v>
      </c>
      <c r="D20" s="159" t="e">
        <f t="shared" si="0"/>
        <v>#REF!</v>
      </c>
      <c r="E20" s="70">
        <v>0.35894305694792683</v>
      </c>
      <c r="F20" s="159">
        <f t="shared" si="1"/>
        <v>0.0023782296177766006</v>
      </c>
      <c r="G20" s="159"/>
      <c r="H20" s="159">
        <f t="shared" si="2"/>
        <v>0</v>
      </c>
      <c r="I20" s="160">
        <v>0</v>
      </c>
      <c r="J20" s="161">
        <v>0</v>
      </c>
      <c r="K20" s="160">
        <v>0</v>
      </c>
      <c r="L20" s="161">
        <v>0</v>
      </c>
      <c r="M20" s="162">
        <v>0</v>
      </c>
      <c r="N20" s="161">
        <v>0</v>
      </c>
      <c r="O20" s="162">
        <v>0</v>
      </c>
      <c r="P20" s="161">
        <v>0</v>
      </c>
      <c r="Q20" s="68"/>
    </row>
    <row r="21" spans="1:17" s="34" customFormat="1" ht="18" customHeight="1">
      <c r="A21" s="97" t="s">
        <v>37</v>
      </c>
      <c r="B21" s="29" t="s">
        <v>38</v>
      </c>
      <c r="C21" s="70" t="e">
        <f>E21+G21+#REF!</f>
        <v>#REF!</v>
      </c>
      <c r="D21" s="159" t="e">
        <f t="shared" si="0"/>
        <v>#REF!</v>
      </c>
      <c r="E21" s="70">
        <v>0.19143073011117975</v>
      </c>
      <c r="F21" s="159">
        <f t="shared" si="1"/>
        <v>0.0012683522449886912</v>
      </c>
      <c r="G21" s="159">
        <v>0.19</v>
      </c>
      <c r="H21" s="159">
        <f t="shared" si="2"/>
        <v>0.0012588727337971817</v>
      </c>
      <c r="I21" s="160">
        <v>0</v>
      </c>
      <c r="J21" s="161">
        <v>0</v>
      </c>
      <c r="K21" s="160">
        <v>0</v>
      </c>
      <c r="L21" s="161">
        <v>0</v>
      </c>
      <c r="M21" s="162">
        <v>0</v>
      </c>
      <c r="N21" s="161">
        <v>0</v>
      </c>
      <c r="O21" s="162">
        <v>0</v>
      </c>
      <c r="P21" s="161">
        <v>0</v>
      </c>
      <c r="Q21" s="68"/>
    </row>
    <row r="22" spans="1:17" s="27" customFormat="1" ht="18" customHeight="1">
      <c r="A22" s="96">
        <v>2</v>
      </c>
      <c r="B22" s="23" t="s">
        <v>130</v>
      </c>
      <c r="C22" s="63" t="e">
        <f>E22+G22+#REF!</f>
        <v>#REF!</v>
      </c>
      <c r="D22" s="99" t="e">
        <f t="shared" si="0"/>
        <v>#REF!</v>
      </c>
      <c r="E22" s="63">
        <f>SUM(E23:E25)</f>
        <v>5.199397338405578</v>
      </c>
      <c r="F22" s="99">
        <f t="shared" si="1"/>
        <v>0.03444936600787589</v>
      </c>
      <c r="G22" s="99">
        <f>SUM(G23:G25)</f>
        <v>6.4</v>
      </c>
      <c r="H22" s="99">
        <f t="shared" si="2"/>
        <v>0.04240413419106296</v>
      </c>
      <c r="I22" s="156">
        <v>14.28</v>
      </c>
      <c r="J22" s="157">
        <v>0.23</v>
      </c>
      <c r="K22" s="156">
        <v>12.16</v>
      </c>
      <c r="L22" s="157">
        <v>0.23</v>
      </c>
      <c r="M22" s="158">
        <v>1.69</v>
      </c>
      <c r="N22" s="157">
        <v>0.23</v>
      </c>
      <c r="O22" s="158">
        <v>0.44</v>
      </c>
      <c r="P22" s="157">
        <v>0.23</v>
      </c>
      <c r="Q22" s="68"/>
    </row>
    <row r="23" spans="1:17" s="34" customFormat="1" ht="18" customHeight="1">
      <c r="A23" s="97" t="s">
        <v>41</v>
      </c>
      <c r="B23" s="29" t="s">
        <v>160</v>
      </c>
      <c r="C23" s="70" t="e">
        <f>E23+G23+#REF!</f>
        <v>#REF!</v>
      </c>
      <c r="D23" s="159" t="e">
        <f t="shared" si="0"/>
        <v>#REF!</v>
      </c>
      <c r="E23" s="70">
        <v>3.475422348914554</v>
      </c>
      <c r="F23" s="159">
        <f t="shared" si="1"/>
        <v>0.02302691807093625</v>
      </c>
      <c r="G23" s="159">
        <v>5.96</v>
      </c>
      <c r="H23" s="159">
        <f t="shared" si="2"/>
        <v>0.039488849965427376</v>
      </c>
      <c r="I23" s="160">
        <v>8.81</v>
      </c>
      <c r="J23" s="161">
        <v>0.14</v>
      </c>
      <c r="K23" s="160">
        <v>7.5</v>
      </c>
      <c r="L23" s="161">
        <v>0.14</v>
      </c>
      <c r="M23" s="162">
        <v>1.04</v>
      </c>
      <c r="N23" s="161">
        <v>0.14</v>
      </c>
      <c r="O23" s="162">
        <v>0.27</v>
      </c>
      <c r="P23" s="161">
        <v>0.14</v>
      </c>
      <c r="Q23" s="68"/>
    </row>
    <row r="24" spans="1:17" s="34" customFormat="1" ht="18" customHeight="1" hidden="1">
      <c r="A24" s="97" t="s">
        <v>42</v>
      </c>
      <c r="B24" s="29"/>
      <c r="C24" s="70" t="e">
        <f>E24+G24+#REF!</f>
        <v>#REF!</v>
      </c>
      <c r="D24" s="159" t="e">
        <f t="shared" si="0"/>
        <v>#REF!</v>
      </c>
      <c r="E24" s="70">
        <v>1.2879915279777578</v>
      </c>
      <c r="F24" s="159">
        <f t="shared" si="1"/>
        <v>0.008533775873331418</v>
      </c>
      <c r="G24" s="159"/>
      <c r="H24" s="159">
        <f t="shared" si="2"/>
        <v>0</v>
      </c>
      <c r="I24" s="160">
        <v>3.27</v>
      </c>
      <c r="J24" s="161">
        <v>0.05</v>
      </c>
      <c r="K24" s="160">
        <v>2.78</v>
      </c>
      <c r="L24" s="161">
        <v>0.05</v>
      </c>
      <c r="M24" s="162">
        <v>0.39</v>
      </c>
      <c r="N24" s="161">
        <v>0.05</v>
      </c>
      <c r="O24" s="162">
        <v>0.1</v>
      </c>
      <c r="P24" s="161">
        <v>0.05</v>
      </c>
      <c r="Q24" s="68"/>
    </row>
    <row r="25" spans="1:17" s="34" customFormat="1" ht="18" customHeight="1">
      <c r="A25" s="97" t="s">
        <v>42</v>
      </c>
      <c r="B25" s="29" t="s">
        <v>38</v>
      </c>
      <c r="C25" s="70" t="e">
        <f>E25+G25+#REF!</f>
        <v>#REF!</v>
      </c>
      <c r="D25" s="159" t="e">
        <f t="shared" si="0"/>
        <v>#REF!</v>
      </c>
      <c r="E25" s="70">
        <v>0.43598346151326633</v>
      </c>
      <c r="F25" s="159">
        <f t="shared" si="1"/>
        <v>0.002888672063608231</v>
      </c>
      <c r="G25" s="159">
        <v>0.44</v>
      </c>
      <c r="H25" s="159">
        <f t="shared" si="2"/>
        <v>0.0029152842256355786</v>
      </c>
      <c r="I25" s="160">
        <v>2.2</v>
      </c>
      <c r="J25" s="161">
        <v>0.04</v>
      </c>
      <c r="K25" s="160">
        <v>1.87</v>
      </c>
      <c r="L25" s="161">
        <v>0.04</v>
      </c>
      <c r="M25" s="162">
        <v>0.26</v>
      </c>
      <c r="N25" s="161">
        <v>0.04</v>
      </c>
      <c r="O25" s="162">
        <v>0.07</v>
      </c>
      <c r="P25" s="161">
        <v>0.04</v>
      </c>
      <c r="Q25" s="68"/>
    </row>
    <row r="26" spans="1:17" s="27" customFormat="1" ht="18" customHeight="1">
      <c r="A26" s="96">
        <v>3</v>
      </c>
      <c r="B26" s="23" t="s">
        <v>49</v>
      </c>
      <c r="C26" s="63" t="e">
        <f>E26+G26+#REF!</f>
        <v>#REF!</v>
      </c>
      <c r="D26" s="99" t="e">
        <f t="shared" si="0"/>
        <v>#REF!</v>
      </c>
      <c r="E26" s="63">
        <f>SUM(E27:E29)</f>
        <v>0</v>
      </c>
      <c r="F26" s="99">
        <f t="shared" si="1"/>
        <v>0</v>
      </c>
      <c r="G26" s="63">
        <f>SUM(G27:G29)</f>
        <v>0</v>
      </c>
      <c r="H26" s="99">
        <f t="shared" si="2"/>
        <v>0</v>
      </c>
      <c r="I26" s="156">
        <v>0</v>
      </c>
      <c r="J26" s="157">
        <v>0</v>
      </c>
      <c r="K26" s="156">
        <v>0</v>
      </c>
      <c r="L26" s="157">
        <v>0</v>
      </c>
      <c r="M26" s="158">
        <v>0</v>
      </c>
      <c r="N26" s="157">
        <v>0</v>
      </c>
      <c r="O26" s="158">
        <v>0</v>
      </c>
      <c r="P26" s="157">
        <v>0</v>
      </c>
      <c r="Q26" s="68"/>
    </row>
    <row r="27" spans="1:17" s="34" customFormat="1" ht="18" customHeight="1" hidden="1">
      <c r="A27" s="97" t="s">
        <v>43</v>
      </c>
      <c r="B27" s="29" t="s">
        <v>44</v>
      </c>
      <c r="C27" s="63" t="e">
        <f>E27+G27+#REF!</f>
        <v>#REF!</v>
      </c>
      <c r="D27" s="99" t="e">
        <f t="shared" si="0"/>
        <v>#REF!</v>
      </c>
      <c r="E27" s="63">
        <v>0</v>
      </c>
      <c r="F27" s="99">
        <f t="shared" si="1"/>
        <v>0</v>
      </c>
      <c r="G27" s="99">
        <v>0</v>
      </c>
      <c r="H27" s="99">
        <f t="shared" si="2"/>
        <v>0</v>
      </c>
      <c r="I27" s="160">
        <v>0</v>
      </c>
      <c r="J27" s="161">
        <v>0</v>
      </c>
      <c r="K27" s="160">
        <v>0</v>
      </c>
      <c r="L27" s="161">
        <v>0</v>
      </c>
      <c r="M27" s="162">
        <v>0</v>
      </c>
      <c r="N27" s="161">
        <v>0</v>
      </c>
      <c r="O27" s="162">
        <v>0</v>
      </c>
      <c r="P27" s="161">
        <v>0</v>
      </c>
      <c r="Q27" s="68"/>
    </row>
    <row r="28" spans="1:17" s="34" customFormat="1" ht="18" customHeight="1" hidden="1">
      <c r="A28" s="97" t="s">
        <v>45</v>
      </c>
      <c r="B28" s="29" t="s">
        <v>46</v>
      </c>
      <c r="C28" s="63" t="e">
        <f>E28+G28+#REF!</f>
        <v>#REF!</v>
      </c>
      <c r="D28" s="99" t="e">
        <f t="shared" si="0"/>
        <v>#REF!</v>
      </c>
      <c r="E28" s="63">
        <v>0</v>
      </c>
      <c r="F28" s="99">
        <f t="shared" si="1"/>
        <v>0</v>
      </c>
      <c r="G28" s="99">
        <v>0</v>
      </c>
      <c r="H28" s="99">
        <f t="shared" si="2"/>
        <v>0</v>
      </c>
      <c r="I28" s="160">
        <v>0</v>
      </c>
      <c r="J28" s="161">
        <v>0</v>
      </c>
      <c r="K28" s="160">
        <v>0</v>
      </c>
      <c r="L28" s="161">
        <v>0</v>
      </c>
      <c r="M28" s="162">
        <v>0</v>
      </c>
      <c r="N28" s="161">
        <v>0</v>
      </c>
      <c r="O28" s="162">
        <v>0</v>
      </c>
      <c r="P28" s="161">
        <v>0</v>
      </c>
      <c r="Q28" s="68"/>
    </row>
    <row r="29" spans="1:17" s="34" customFormat="1" ht="18" customHeight="1" hidden="1">
      <c r="A29" s="97" t="s">
        <v>47</v>
      </c>
      <c r="B29" s="29" t="s">
        <v>38</v>
      </c>
      <c r="C29" s="63" t="e">
        <f>E29+G29+#REF!</f>
        <v>#REF!</v>
      </c>
      <c r="D29" s="99" t="e">
        <f t="shared" si="0"/>
        <v>#REF!</v>
      </c>
      <c r="E29" s="63">
        <v>0</v>
      </c>
      <c r="F29" s="99">
        <f t="shared" si="1"/>
        <v>0</v>
      </c>
      <c r="G29" s="99">
        <v>0</v>
      </c>
      <c r="H29" s="99">
        <f t="shared" si="2"/>
        <v>0</v>
      </c>
      <c r="I29" s="160">
        <v>0</v>
      </c>
      <c r="J29" s="161">
        <v>0</v>
      </c>
      <c r="K29" s="160">
        <v>0</v>
      </c>
      <c r="L29" s="161">
        <v>0</v>
      </c>
      <c r="M29" s="162">
        <v>0</v>
      </c>
      <c r="N29" s="161">
        <v>0</v>
      </c>
      <c r="O29" s="162">
        <v>0</v>
      </c>
      <c r="P29" s="161">
        <v>0</v>
      </c>
      <c r="Q29" s="68"/>
    </row>
    <row r="30" spans="1:17" s="27" customFormat="1" ht="18" customHeight="1">
      <c r="A30" s="96">
        <v>4</v>
      </c>
      <c r="B30" s="23" t="s">
        <v>161</v>
      </c>
      <c r="C30" s="63" t="e">
        <f>E30+G30+#REF!</f>
        <v>#REF!</v>
      </c>
      <c r="D30" s="99" t="e">
        <f t="shared" si="0"/>
        <v>#REF!</v>
      </c>
      <c r="E30" s="63">
        <v>0</v>
      </c>
      <c r="F30" s="99">
        <f t="shared" si="1"/>
        <v>0</v>
      </c>
      <c r="G30" s="99">
        <v>0</v>
      </c>
      <c r="H30" s="99">
        <f t="shared" si="2"/>
        <v>0</v>
      </c>
      <c r="I30" s="156">
        <v>0</v>
      </c>
      <c r="J30" s="157">
        <v>0</v>
      </c>
      <c r="K30" s="156">
        <v>0</v>
      </c>
      <c r="L30" s="157">
        <v>0</v>
      </c>
      <c r="M30" s="158">
        <v>0</v>
      </c>
      <c r="N30" s="157">
        <v>0</v>
      </c>
      <c r="O30" s="158">
        <v>0</v>
      </c>
      <c r="P30" s="157">
        <v>0</v>
      </c>
      <c r="Q30" s="68"/>
    </row>
    <row r="31" spans="1:17" s="27" customFormat="1" ht="18" customHeight="1">
      <c r="A31" s="96">
        <v>5</v>
      </c>
      <c r="B31" s="23" t="s">
        <v>51</v>
      </c>
      <c r="C31" s="63" t="e">
        <f>E31+G31+#REF!</f>
        <v>#REF!</v>
      </c>
      <c r="D31" s="99" t="e">
        <f t="shared" si="0"/>
        <v>#REF!</v>
      </c>
      <c r="E31" s="63">
        <v>0</v>
      </c>
      <c r="F31" s="99">
        <f t="shared" si="1"/>
        <v>0</v>
      </c>
      <c r="G31" s="99">
        <v>0</v>
      </c>
      <c r="H31" s="99">
        <f t="shared" si="2"/>
        <v>0</v>
      </c>
      <c r="I31" s="156">
        <v>0</v>
      </c>
      <c r="J31" s="157">
        <v>0</v>
      </c>
      <c r="K31" s="156">
        <v>0</v>
      </c>
      <c r="L31" s="157">
        <v>0</v>
      </c>
      <c r="M31" s="158">
        <v>0</v>
      </c>
      <c r="N31" s="157">
        <v>0</v>
      </c>
      <c r="O31" s="158">
        <v>0</v>
      </c>
      <c r="P31" s="157">
        <v>0</v>
      </c>
      <c r="Q31" s="68"/>
    </row>
    <row r="32" spans="1:17" s="27" customFormat="1" ht="18" customHeight="1">
      <c r="A32" s="96">
        <v>6</v>
      </c>
      <c r="B32" s="23" t="s">
        <v>132</v>
      </c>
      <c r="C32" s="63" t="e">
        <f>E32+G32+#REF!</f>
        <v>#REF!</v>
      </c>
      <c r="D32" s="99" t="e">
        <f>ROUND(C32/$C$42*1000,2)</f>
        <v>#REF!</v>
      </c>
      <c r="E32" s="63">
        <f>E22+E11</f>
        <v>165.74840198155772</v>
      </c>
      <c r="F32" s="99">
        <f>ROUND(E32/$E$42*1000,2)</f>
        <v>1.1</v>
      </c>
      <c r="G32" s="99">
        <f>G22+G11</f>
        <v>206.88</v>
      </c>
      <c r="H32" s="99">
        <f>ROUND(G32/$G$42*1000,2)</f>
        <v>1.37</v>
      </c>
      <c r="I32" s="156">
        <v>295.91</v>
      </c>
      <c r="J32" s="157">
        <v>4.83</v>
      </c>
      <c r="K32" s="156">
        <v>251.87</v>
      </c>
      <c r="L32" s="157">
        <v>4.83</v>
      </c>
      <c r="M32" s="158">
        <v>34.92</v>
      </c>
      <c r="N32" s="157">
        <v>4.83</v>
      </c>
      <c r="O32" s="158">
        <v>9.12</v>
      </c>
      <c r="P32" s="157">
        <v>4.83</v>
      </c>
      <c r="Q32" s="68"/>
    </row>
    <row r="33" spans="1:17" s="27" customFormat="1" ht="18" customHeight="1">
      <c r="A33" s="96">
        <v>7</v>
      </c>
      <c r="B33" s="23" t="s">
        <v>162</v>
      </c>
      <c r="C33" s="63"/>
      <c r="D33" s="99"/>
      <c r="E33" s="63"/>
      <c r="F33" s="99"/>
      <c r="G33" s="99">
        <v>0</v>
      </c>
      <c r="H33" s="99">
        <v>0</v>
      </c>
      <c r="I33" s="156"/>
      <c r="J33" s="157"/>
      <c r="K33" s="156"/>
      <c r="L33" s="157"/>
      <c r="M33" s="158"/>
      <c r="N33" s="157"/>
      <c r="O33" s="158"/>
      <c r="P33" s="157"/>
      <c r="Q33" s="68"/>
    </row>
    <row r="34" spans="1:17" s="27" customFormat="1" ht="18" customHeight="1">
      <c r="A34" s="96">
        <v>8</v>
      </c>
      <c r="B34" s="23" t="s">
        <v>163</v>
      </c>
      <c r="C34" s="63" t="e">
        <f>E34+G34+#REF!</f>
        <v>#REF!</v>
      </c>
      <c r="D34" s="99" t="e">
        <f aca="true" t="shared" si="3" ref="D34:D39">ROUND(C34/$C$42*1000,2)</f>
        <v>#REF!</v>
      </c>
      <c r="E34" s="63">
        <f>SUM(E35:E39)</f>
        <v>0</v>
      </c>
      <c r="F34" s="99">
        <f aca="true" t="shared" si="4" ref="F34:F39">ROUND(E34/$E$42*1000,2)</f>
        <v>0</v>
      </c>
      <c r="G34" s="99">
        <f>SUM(G35:G39)</f>
        <v>0</v>
      </c>
      <c r="H34" s="99">
        <f aca="true" t="shared" si="5" ref="H34:H39">ROUND(G34/$G$42*1000,2)</f>
        <v>0</v>
      </c>
      <c r="I34" s="156">
        <v>0</v>
      </c>
      <c r="J34" s="157">
        <v>0</v>
      </c>
      <c r="K34" s="156">
        <v>0</v>
      </c>
      <c r="L34" s="157">
        <v>0</v>
      </c>
      <c r="M34" s="158">
        <v>0</v>
      </c>
      <c r="N34" s="157">
        <v>0</v>
      </c>
      <c r="O34" s="158">
        <v>0</v>
      </c>
      <c r="P34" s="157">
        <v>0</v>
      </c>
      <c r="Q34" s="68"/>
    </row>
    <row r="35" spans="1:17" ht="18" customHeight="1">
      <c r="A35" s="97" t="s">
        <v>55</v>
      </c>
      <c r="B35" s="29" t="s">
        <v>56</v>
      </c>
      <c r="C35" s="70" t="e">
        <f>E35+G35+#REF!</f>
        <v>#REF!</v>
      </c>
      <c r="D35" s="70" t="e">
        <f t="shared" si="3"/>
        <v>#REF!</v>
      </c>
      <c r="E35" s="70">
        <v>0</v>
      </c>
      <c r="F35" s="159">
        <f t="shared" si="4"/>
        <v>0</v>
      </c>
      <c r="G35" s="159">
        <v>0</v>
      </c>
      <c r="H35" s="159">
        <f t="shared" si="5"/>
        <v>0</v>
      </c>
      <c r="I35" s="160">
        <v>0</v>
      </c>
      <c r="J35" s="70">
        <v>0</v>
      </c>
      <c r="K35" s="160">
        <v>0</v>
      </c>
      <c r="L35" s="161">
        <v>0</v>
      </c>
      <c r="M35" s="162">
        <v>0</v>
      </c>
      <c r="N35" s="161">
        <v>0</v>
      </c>
      <c r="O35" s="162">
        <v>0</v>
      </c>
      <c r="P35" s="161">
        <v>0</v>
      </c>
      <c r="Q35" s="68"/>
    </row>
    <row r="36" spans="1:17" ht="18" customHeight="1" hidden="1">
      <c r="A36" s="97" t="s">
        <v>57</v>
      </c>
      <c r="B36" s="29" t="s">
        <v>58</v>
      </c>
      <c r="C36" s="70" t="e">
        <f>E36+G36+#REF!</f>
        <v>#REF!</v>
      </c>
      <c r="D36" s="70" t="e">
        <f t="shared" si="3"/>
        <v>#REF!</v>
      </c>
      <c r="E36" s="70">
        <v>0</v>
      </c>
      <c r="F36" s="159">
        <f t="shared" si="4"/>
        <v>0</v>
      </c>
      <c r="G36" s="159">
        <v>0</v>
      </c>
      <c r="H36" s="159">
        <f t="shared" si="5"/>
        <v>0</v>
      </c>
      <c r="I36" s="160">
        <v>0</v>
      </c>
      <c r="J36" s="70">
        <v>0</v>
      </c>
      <c r="K36" s="160">
        <v>0</v>
      </c>
      <c r="L36" s="161">
        <v>0</v>
      </c>
      <c r="M36" s="162">
        <v>0</v>
      </c>
      <c r="N36" s="161">
        <v>0</v>
      </c>
      <c r="O36" s="162">
        <v>0</v>
      </c>
      <c r="P36" s="161">
        <v>0</v>
      </c>
      <c r="Q36" s="68"/>
    </row>
    <row r="37" spans="1:17" ht="18" customHeight="1">
      <c r="A37" s="97" t="s">
        <v>59</v>
      </c>
      <c r="B37" s="29" t="str">
        <f>Додаток3!B42</f>
        <v>резервний фонд (капітал) та дивіденди </v>
      </c>
      <c r="C37" s="70" t="e">
        <f>E37+G37+#REF!</f>
        <v>#REF!</v>
      </c>
      <c r="D37" s="70" t="e">
        <f t="shared" si="3"/>
        <v>#REF!</v>
      </c>
      <c r="E37" s="70">
        <v>0</v>
      </c>
      <c r="F37" s="159">
        <f t="shared" si="4"/>
        <v>0</v>
      </c>
      <c r="G37" s="159">
        <v>0</v>
      </c>
      <c r="H37" s="159">
        <f t="shared" si="5"/>
        <v>0</v>
      </c>
      <c r="I37" s="160">
        <v>0</v>
      </c>
      <c r="J37" s="70">
        <v>0</v>
      </c>
      <c r="K37" s="160">
        <v>0</v>
      </c>
      <c r="L37" s="161">
        <v>0</v>
      </c>
      <c r="M37" s="162">
        <v>0</v>
      </c>
      <c r="N37" s="161">
        <v>0</v>
      </c>
      <c r="O37" s="162">
        <v>0</v>
      </c>
      <c r="P37" s="161">
        <v>0</v>
      </c>
      <c r="Q37" s="68"/>
    </row>
    <row r="38" spans="1:17" ht="18" customHeight="1">
      <c r="A38" s="97" t="s">
        <v>60</v>
      </c>
      <c r="B38" s="29" t="s">
        <v>61</v>
      </c>
      <c r="C38" s="70" t="e">
        <f>E38+G38+#REF!</f>
        <v>#REF!</v>
      </c>
      <c r="D38" s="159" t="e">
        <f t="shared" si="3"/>
        <v>#REF!</v>
      </c>
      <c r="E38" s="70">
        <v>0</v>
      </c>
      <c r="F38" s="159">
        <f t="shared" si="4"/>
        <v>0</v>
      </c>
      <c r="G38" s="159">
        <v>0</v>
      </c>
      <c r="H38" s="159">
        <f t="shared" si="5"/>
        <v>0</v>
      </c>
      <c r="I38" s="160">
        <v>0</v>
      </c>
      <c r="J38" s="161">
        <v>0</v>
      </c>
      <c r="K38" s="160">
        <v>0</v>
      </c>
      <c r="L38" s="161">
        <v>0</v>
      </c>
      <c r="M38" s="162">
        <v>0</v>
      </c>
      <c r="N38" s="161">
        <v>0</v>
      </c>
      <c r="O38" s="162">
        <v>0</v>
      </c>
      <c r="P38" s="161">
        <v>0</v>
      </c>
      <c r="Q38" s="68"/>
    </row>
    <row r="39" spans="1:17" ht="18" customHeight="1">
      <c r="A39" s="97" t="s">
        <v>62</v>
      </c>
      <c r="B39" s="29" t="s">
        <v>134</v>
      </c>
      <c r="C39" s="70" t="e">
        <f>E39+G39+#REF!</f>
        <v>#REF!</v>
      </c>
      <c r="D39" s="159" t="e">
        <f t="shared" si="3"/>
        <v>#REF!</v>
      </c>
      <c r="E39" s="70">
        <v>0</v>
      </c>
      <c r="F39" s="159">
        <f t="shared" si="4"/>
        <v>0</v>
      </c>
      <c r="G39" s="159">
        <v>0</v>
      </c>
      <c r="H39" s="159">
        <f t="shared" si="5"/>
        <v>0</v>
      </c>
      <c r="I39" s="160">
        <v>0</v>
      </c>
      <c r="J39" s="161">
        <v>0</v>
      </c>
      <c r="K39" s="160">
        <v>0</v>
      </c>
      <c r="L39" s="161">
        <v>0</v>
      </c>
      <c r="M39" s="162">
        <v>0</v>
      </c>
      <c r="N39" s="161">
        <v>0</v>
      </c>
      <c r="O39" s="162">
        <v>0</v>
      </c>
      <c r="P39" s="161">
        <v>0</v>
      </c>
      <c r="Q39" s="68"/>
    </row>
    <row r="40" spans="1:17" s="27" customFormat="1" ht="15" customHeight="1">
      <c r="A40" s="96">
        <v>9</v>
      </c>
      <c r="B40" s="23" t="s">
        <v>164</v>
      </c>
      <c r="C40" s="63" t="e">
        <f>E40+G40+#REF!</f>
        <v>#REF!</v>
      </c>
      <c r="D40" s="99" t="e">
        <f>D32+D34</f>
        <v>#REF!</v>
      </c>
      <c r="E40" s="63">
        <f>E34+E32</f>
        <v>165.74840198155772</v>
      </c>
      <c r="F40" s="99">
        <f>F32+F34</f>
        <v>1.1</v>
      </c>
      <c r="G40" s="99">
        <f>G34+G32</f>
        <v>206.88</v>
      </c>
      <c r="H40" s="99">
        <f>H32+H34</f>
        <v>1.37</v>
      </c>
      <c r="I40" s="156">
        <v>295.91</v>
      </c>
      <c r="J40" s="157">
        <v>4.83</v>
      </c>
      <c r="K40" s="156">
        <v>251.87</v>
      </c>
      <c r="L40" s="157">
        <v>4.83</v>
      </c>
      <c r="M40" s="158">
        <v>34.92</v>
      </c>
      <c r="N40" s="157">
        <v>4.83</v>
      </c>
      <c r="O40" s="158">
        <v>9.12</v>
      </c>
      <c r="P40" s="157">
        <v>4.83</v>
      </c>
      <c r="Q40" s="68"/>
    </row>
    <row r="41" spans="1:16" s="27" customFormat="1" ht="15.75">
      <c r="A41" s="163">
        <v>10</v>
      </c>
      <c r="B41" s="23" t="s">
        <v>165</v>
      </c>
      <c r="C41" s="63"/>
      <c r="D41" s="63" t="e">
        <f>D40</f>
        <v>#REF!</v>
      </c>
      <c r="E41" s="63"/>
      <c r="F41" s="63">
        <f>F40</f>
        <v>1.1</v>
      </c>
      <c r="G41" s="63"/>
      <c r="H41" s="63">
        <f>H40</f>
        <v>1.37</v>
      </c>
      <c r="I41" s="63">
        <v>4.83</v>
      </c>
      <c r="J41" s="63">
        <v>4.83</v>
      </c>
      <c r="K41" s="63">
        <v>4.83</v>
      </c>
      <c r="L41" s="63">
        <v>4.83</v>
      </c>
      <c r="M41" s="63">
        <v>4.83</v>
      </c>
      <c r="N41" s="63">
        <v>4.83</v>
      </c>
      <c r="O41" s="63">
        <v>4.83</v>
      </c>
      <c r="P41" s="63">
        <v>4.83</v>
      </c>
    </row>
    <row r="42" spans="1:8" s="27" customFormat="1" ht="13.5" customHeight="1">
      <c r="A42" s="96">
        <v>11</v>
      </c>
      <c r="B42" s="23" t="s">
        <v>166</v>
      </c>
      <c r="C42" s="63" t="e">
        <f>E42+G42+#REF!</f>
        <v>#REF!</v>
      </c>
      <c r="D42" s="63"/>
      <c r="E42" s="63">
        <f>Додаток3!E47</f>
        <v>150928.68</v>
      </c>
      <c r="F42" s="63"/>
      <c r="G42" s="63">
        <f>Додаток3!G47</f>
        <v>150928.68</v>
      </c>
      <c r="H42" s="99"/>
    </row>
    <row r="43" spans="1:8" ht="19.5" customHeight="1" hidden="1">
      <c r="A43" s="97" t="s">
        <v>137</v>
      </c>
      <c r="B43" s="29" t="s">
        <v>145</v>
      </c>
      <c r="C43" s="164"/>
      <c r="D43" s="164"/>
      <c r="E43" s="165"/>
      <c r="F43" s="165"/>
      <c r="G43" s="165"/>
      <c r="H43" s="165"/>
    </row>
    <row r="44" spans="1:8" ht="15.75" customHeight="1" hidden="1">
      <c r="A44" s="97" t="s">
        <v>137</v>
      </c>
      <c r="B44" s="29" t="s">
        <v>167</v>
      </c>
      <c r="C44" s="164"/>
      <c r="D44" s="164"/>
      <c r="E44" s="165"/>
      <c r="F44" s="165"/>
      <c r="G44" s="47"/>
      <c r="H44" s="165"/>
    </row>
    <row r="45" spans="1:8" ht="19.5" customHeight="1" hidden="1">
      <c r="A45" s="97" t="s">
        <v>168</v>
      </c>
      <c r="B45" s="29" t="s">
        <v>169</v>
      </c>
      <c r="C45" s="164"/>
      <c r="D45" s="164"/>
      <c r="E45" s="165"/>
      <c r="F45" s="165"/>
      <c r="G45" s="165"/>
      <c r="H45" s="165"/>
    </row>
    <row r="46" spans="1:8" ht="15.75" hidden="1">
      <c r="A46" s="166" t="s">
        <v>170</v>
      </c>
      <c r="B46" s="166"/>
      <c r="C46" s="27"/>
      <c r="D46" s="27"/>
      <c r="E46" s="27"/>
      <c r="F46" s="27"/>
      <c r="G46" s="27"/>
      <c r="H46" s="27"/>
    </row>
    <row r="47" s="46" customFormat="1" ht="14.25" hidden="1">
      <c r="B47" s="46" t="s">
        <v>66</v>
      </c>
    </row>
    <row r="48" spans="1:8" ht="15.75">
      <c r="A48" s="101">
        <v>12</v>
      </c>
      <c r="B48" s="137" t="s">
        <v>108</v>
      </c>
      <c r="C48" s="102" t="e">
        <f>C34/C32*100</f>
        <v>#REF!</v>
      </c>
      <c r="D48" s="102" t="e">
        <f>D34/D32*100</f>
        <v>#REF!</v>
      </c>
      <c r="E48" s="102">
        <f>E34/E32*100</f>
        <v>0</v>
      </c>
      <c r="F48" s="102">
        <f>F34/F32*100</f>
        <v>0</v>
      </c>
      <c r="G48" s="102">
        <f>G34/G32*100</f>
        <v>0</v>
      </c>
      <c r="H48" s="102">
        <f>ROUND(H34/H32*100,0)</f>
        <v>0</v>
      </c>
    </row>
    <row r="49" spans="1:8" ht="12.75">
      <c r="A49" s="10"/>
      <c r="B49" s="10"/>
      <c r="C49" s="10"/>
      <c r="D49" s="10"/>
      <c r="E49" s="10"/>
      <c r="F49" s="10"/>
      <c r="G49" s="10"/>
      <c r="H49" s="10"/>
    </row>
    <row r="50" spans="1:8" ht="12.75" customHeight="1">
      <c r="A50" s="10"/>
      <c r="B50" s="10"/>
      <c r="C50" s="10"/>
      <c r="D50" s="10"/>
      <c r="E50" s="10"/>
      <c r="F50" s="10"/>
      <c r="G50" s="10"/>
      <c r="H50" s="10"/>
    </row>
    <row r="51" spans="1:8" s="44" customFormat="1" ht="67.5" customHeight="1">
      <c r="A51" s="300"/>
      <c r="B51" s="300"/>
      <c r="C51" s="300"/>
      <c r="D51" s="300"/>
      <c r="E51" s="300"/>
      <c r="H51" s="92"/>
    </row>
    <row r="52" ht="2.25" customHeight="1"/>
  </sheetData>
  <sheetProtection selectLockedCells="1" selectUnlockedCells="1"/>
  <mergeCells count="13">
    <mergeCell ref="I8:J8"/>
    <mergeCell ref="K8:L8"/>
    <mergeCell ref="M8:N8"/>
    <mergeCell ref="O8:P8"/>
    <mergeCell ref="A51:E51"/>
    <mergeCell ref="A5:H5"/>
    <mergeCell ref="A6:H6"/>
    <mergeCell ref="B7:H7"/>
    <mergeCell ref="A8:A9"/>
    <mergeCell ref="B8:B9"/>
    <mergeCell ref="C8:D8"/>
    <mergeCell ref="E8:F8"/>
    <mergeCell ref="G8:H8"/>
  </mergeCells>
  <printOptions horizontalCentered="1"/>
  <pageMargins left="0.2361111111111111" right="0.2361111111111111" top="0.32013888888888886" bottom="0.7479166666666667" header="0.5118055555555555" footer="0.5118055555555555"/>
  <pageSetup horizontalDpi="300" verticalDpi="3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SheetLayoutView="85" zoomScalePageLayoutView="0" workbookViewId="0" topLeftCell="A25">
      <selection activeCell="E11" sqref="E11"/>
    </sheetView>
  </sheetViews>
  <sheetFormatPr defaultColWidth="9.140625" defaultRowHeight="12.75"/>
  <cols>
    <col min="1" max="1" width="8.421875" style="0" customWidth="1"/>
    <col min="2" max="2" width="40.7109375" style="0" customWidth="1"/>
    <col min="3" max="3" width="10.7109375" style="0" customWidth="1"/>
    <col min="4" max="4" width="10.28125" style="0" customWidth="1"/>
    <col min="5" max="5" width="10.57421875" style="0" customWidth="1"/>
    <col min="6" max="6" width="10.00390625" style="0" customWidth="1"/>
    <col min="7" max="7" width="10.57421875" style="0" customWidth="1"/>
    <col min="8" max="8" width="10.140625" style="0" customWidth="1"/>
    <col min="9" max="9" width="10.421875" style="0" customWidth="1"/>
    <col min="10" max="10" width="10.140625" style="0" customWidth="1"/>
  </cols>
  <sheetData>
    <row r="1" spans="1:10" ht="19.5">
      <c r="A1" s="167"/>
      <c r="B1" s="167"/>
      <c r="C1" s="167"/>
      <c r="D1" s="167"/>
      <c r="E1" s="168"/>
      <c r="F1" s="168"/>
      <c r="G1" s="167"/>
      <c r="H1" s="169" t="s">
        <v>171</v>
      </c>
      <c r="I1" s="170"/>
      <c r="J1" s="171"/>
    </row>
    <row r="2" spans="1:10" ht="19.5">
      <c r="A2" s="167"/>
      <c r="B2" s="167"/>
      <c r="C2" s="167"/>
      <c r="D2" s="167"/>
      <c r="E2" s="168"/>
      <c r="F2" s="168"/>
      <c r="G2" s="167"/>
      <c r="H2" s="172" t="s">
        <v>153</v>
      </c>
      <c r="I2" s="173"/>
      <c r="J2" s="171"/>
    </row>
    <row r="3" spans="1:10" ht="18.75">
      <c r="A3" s="167"/>
      <c r="B3" s="167"/>
      <c r="C3" s="167"/>
      <c r="D3" s="167"/>
      <c r="E3" s="168"/>
      <c r="F3" s="168"/>
      <c r="G3" s="167"/>
      <c r="H3" s="174" t="s">
        <v>172</v>
      </c>
      <c r="I3" s="173"/>
      <c r="J3" s="171"/>
    </row>
    <row r="4" spans="1:10" ht="13.5">
      <c r="A4" s="167"/>
      <c r="B4" s="167"/>
      <c r="C4" s="167"/>
      <c r="D4" s="167"/>
      <c r="E4" s="167"/>
      <c r="F4" s="167"/>
      <c r="G4" s="167"/>
      <c r="H4" s="167"/>
      <c r="I4" s="167"/>
      <c r="J4" s="167"/>
    </row>
    <row r="5" spans="1:10" ht="18.75" customHeight="1">
      <c r="A5" s="315" t="s">
        <v>173</v>
      </c>
      <c r="B5" s="315"/>
      <c r="C5" s="315"/>
      <c r="D5" s="315"/>
      <c r="E5" s="315"/>
      <c r="F5" s="315"/>
      <c r="G5" s="315"/>
      <c r="H5" s="315"/>
      <c r="I5" s="315"/>
      <c r="J5" s="315"/>
    </row>
    <row r="6" spans="1:10" ht="18.75" customHeight="1">
      <c r="A6" s="315" t="str">
        <f>Додаток1!A6</f>
        <v>КП "Лисичанськтепломережа"</v>
      </c>
      <c r="B6" s="315"/>
      <c r="C6" s="315"/>
      <c r="D6" s="315"/>
      <c r="E6" s="315"/>
      <c r="F6" s="315"/>
      <c r="G6" s="315"/>
      <c r="H6" s="315"/>
      <c r="I6" s="315"/>
      <c r="J6" s="315"/>
    </row>
    <row r="7" spans="1:10" ht="15.75">
      <c r="A7" s="175"/>
      <c r="B7" s="175"/>
      <c r="C7" s="176"/>
      <c r="D7" s="176"/>
      <c r="E7" s="176"/>
      <c r="F7" s="176"/>
      <c r="G7" s="176"/>
      <c r="H7" s="176"/>
      <c r="I7" s="167"/>
      <c r="J7" s="177" t="s">
        <v>174</v>
      </c>
    </row>
    <row r="8" spans="1:10" ht="52.5" customHeight="1">
      <c r="A8" s="316" t="s">
        <v>2</v>
      </c>
      <c r="B8" s="316" t="s">
        <v>3</v>
      </c>
      <c r="C8" s="316" t="s">
        <v>175</v>
      </c>
      <c r="D8" s="316"/>
      <c r="E8" s="316" t="s">
        <v>176</v>
      </c>
      <c r="F8" s="316"/>
      <c r="G8" s="316" t="s">
        <v>177</v>
      </c>
      <c r="H8" s="316"/>
      <c r="I8" s="316" t="s">
        <v>178</v>
      </c>
      <c r="J8" s="316"/>
    </row>
    <row r="9" spans="1:10" ht="45">
      <c r="A9" s="316"/>
      <c r="B9" s="316"/>
      <c r="C9" s="178" t="s">
        <v>6</v>
      </c>
      <c r="D9" s="178" t="s">
        <v>179</v>
      </c>
      <c r="E9" s="178" t="s">
        <v>6</v>
      </c>
      <c r="F9" s="178" t="s">
        <v>179</v>
      </c>
      <c r="G9" s="178" t="s">
        <v>6</v>
      </c>
      <c r="H9" s="178" t="s">
        <v>179</v>
      </c>
      <c r="I9" s="178" t="s">
        <v>6</v>
      </c>
      <c r="J9" s="178" t="s">
        <v>179</v>
      </c>
    </row>
    <row r="10" spans="1:10" ht="13.5">
      <c r="A10" s="179">
        <v>1</v>
      </c>
      <c r="B10" s="180">
        <v>2</v>
      </c>
      <c r="C10" s="180">
        <v>3</v>
      </c>
      <c r="D10" s="180">
        <v>4</v>
      </c>
      <c r="E10" s="180">
        <v>5</v>
      </c>
      <c r="F10" s="180">
        <v>6</v>
      </c>
      <c r="G10" s="180">
        <v>7</v>
      </c>
      <c r="H10" s="180">
        <v>8</v>
      </c>
      <c r="I10" s="180">
        <v>9</v>
      </c>
      <c r="J10" s="181">
        <v>10</v>
      </c>
    </row>
    <row r="11" spans="1:10" ht="33">
      <c r="A11" s="182">
        <v>1</v>
      </c>
      <c r="B11" s="183" t="s">
        <v>65</v>
      </c>
      <c r="C11" s="184">
        <f>E11+G11+I11</f>
        <v>211940.33</v>
      </c>
      <c r="D11" s="184"/>
      <c r="E11" s="184">
        <f>'Додаток2 скор'!H50</f>
        <v>150928.68</v>
      </c>
      <c r="F11" s="184"/>
      <c r="G11" s="184">
        <f>'Додаток2 скор'!P50</f>
        <v>50456.09</v>
      </c>
      <c r="H11" s="184"/>
      <c r="I11" s="184">
        <f>'Додаток2 скор'!U50</f>
        <v>10555.56</v>
      </c>
      <c r="J11" s="185"/>
    </row>
    <row r="12" spans="1:12" ht="49.5">
      <c r="A12" s="182">
        <v>2</v>
      </c>
      <c r="B12" s="183" t="s">
        <v>180</v>
      </c>
      <c r="C12" s="184">
        <f>E12+G12+I12</f>
        <v>0</v>
      </c>
      <c r="D12" s="184"/>
      <c r="E12" s="184"/>
      <c r="F12" s="184"/>
      <c r="G12" s="184"/>
      <c r="H12" s="184"/>
      <c r="I12" s="184"/>
      <c r="J12" s="185"/>
      <c r="L12" s="186"/>
    </row>
    <row r="13" spans="1:10" ht="18.75" customHeight="1">
      <c r="A13" s="317" t="s">
        <v>181</v>
      </c>
      <c r="B13" s="317"/>
      <c r="C13" s="317"/>
      <c r="D13" s="317"/>
      <c r="E13" s="317"/>
      <c r="F13" s="317"/>
      <c r="G13" s="317"/>
      <c r="H13" s="317"/>
      <c r="I13" s="317"/>
      <c r="J13" s="317"/>
    </row>
    <row r="14" spans="1:10" ht="49.5">
      <c r="A14" s="187">
        <v>3</v>
      </c>
      <c r="B14" s="188" t="s">
        <v>182</v>
      </c>
      <c r="C14" s="184">
        <f>ROUNDDOWN(C15+C20,2)</f>
        <v>79706.79</v>
      </c>
      <c r="D14" s="184"/>
      <c r="E14" s="184">
        <f>E15+E20</f>
        <v>44278.158012398184</v>
      </c>
      <c r="F14" s="184"/>
      <c r="G14" s="184">
        <f>G15+G20</f>
        <v>28358.85363091029</v>
      </c>
      <c r="H14" s="184"/>
      <c r="I14" s="184">
        <f>I15+I20</f>
        <v>7069.787039385951</v>
      </c>
      <c r="J14" s="184"/>
    </row>
    <row r="15" spans="1:10" ht="16.5">
      <c r="A15" s="189" t="s">
        <v>43</v>
      </c>
      <c r="B15" s="188" t="s">
        <v>183</v>
      </c>
      <c r="C15" s="190">
        <f>SUM(C16:C19)</f>
        <v>62820.08969669442</v>
      </c>
      <c r="D15" s="184">
        <f>ROUNDDOWN(C15/C11*1000,4)</f>
        <v>296.4046</v>
      </c>
      <c r="E15" s="184">
        <f>SUM(E16:E19)</f>
        <v>32252.656793252594</v>
      </c>
      <c r="F15" s="184">
        <f>ROUND(E15/E11*1000,2)</f>
        <v>213.69</v>
      </c>
      <c r="G15" s="184">
        <f>SUM(G16:G19)</f>
        <v>24338.67819567611</v>
      </c>
      <c r="H15" s="184">
        <f>ROUNDUP(G15/G11*1000,2)</f>
        <v>482.38</v>
      </c>
      <c r="I15" s="184">
        <f>SUM(I16:I19)</f>
        <v>6228.7547077657155</v>
      </c>
      <c r="J15" s="184">
        <f>ROUNDUP(I15/I11*1000,2)</f>
        <v>590.1</v>
      </c>
    </row>
    <row r="16" spans="1:10" ht="49.5">
      <c r="A16" s="191" t="s">
        <v>184</v>
      </c>
      <c r="B16" s="183" t="s">
        <v>185</v>
      </c>
      <c r="C16" s="192">
        <f>E16+G16+I16</f>
        <v>54287.13590669442</v>
      </c>
      <c r="D16" s="192">
        <f>C16/$C$11*1000</f>
        <v>256.14349051308176</v>
      </c>
      <c r="E16" s="192">
        <f>'Додаток2 скор'!H10</f>
        <v>26176.1</v>
      </c>
      <c r="F16" s="192">
        <f>E16/$E$11*1000</f>
        <v>173.43357140604422</v>
      </c>
      <c r="G16" s="192">
        <f>'Додаток2 скор'!P10</f>
        <v>22307.259803555644</v>
      </c>
      <c r="H16" s="192">
        <f>G16/$G$11*1000</f>
        <v>442.1123357667161</v>
      </c>
      <c r="I16" s="192">
        <f>'Додаток2 скор'!U10</f>
        <v>5803.776103138779</v>
      </c>
      <c r="J16" s="192">
        <f>I16/$I$11*1000</f>
        <v>549.8311887894891</v>
      </c>
    </row>
    <row r="17" spans="1:10" ht="49.5">
      <c r="A17" s="191" t="s">
        <v>186</v>
      </c>
      <c r="B17" s="183" t="s">
        <v>187</v>
      </c>
      <c r="C17" s="192">
        <f>E17+G17+I17</f>
        <v>8532.95379</v>
      </c>
      <c r="D17" s="192">
        <f>C17/$C$11*1000</f>
        <v>40.26111401260911</v>
      </c>
      <c r="E17" s="192">
        <f>'Додаток2 скор'!H13</f>
        <v>6076.556793252597</v>
      </c>
      <c r="F17" s="192">
        <f>E17/$E$11*1000</f>
        <v>40.26111401260911</v>
      </c>
      <c r="G17" s="192">
        <f>'Додаток2 скор'!P13</f>
        <v>2031.4183921204665</v>
      </c>
      <c r="H17" s="192">
        <f>G17/$G$11*1000</f>
        <v>40.26111401260911</v>
      </c>
      <c r="I17" s="192">
        <f>'Додаток2 скор'!U13</f>
        <v>424.97860462693626</v>
      </c>
      <c r="J17" s="192">
        <f>I17/$I$11*1000</f>
        <v>40.26111401260911</v>
      </c>
    </row>
    <row r="18" spans="1:10" ht="49.5">
      <c r="A18" s="191" t="s">
        <v>188</v>
      </c>
      <c r="B18" s="183" t="s">
        <v>189</v>
      </c>
      <c r="C18" s="192">
        <f>E18+G18+I18</f>
        <v>0</v>
      </c>
      <c r="D18" s="192">
        <f>C18/$C$11*1000</f>
        <v>0</v>
      </c>
      <c r="E18" s="192">
        <f>'Додаток2 скор'!K14</f>
        <v>0</v>
      </c>
      <c r="F18" s="192">
        <f>E18/$E$11*1000</f>
        <v>0</v>
      </c>
      <c r="G18" s="192">
        <f>'Додаток2 скор'!P14</f>
        <v>0</v>
      </c>
      <c r="H18" s="192">
        <f>G18/$G$11*1000</f>
        <v>0</v>
      </c>
      <c r="I18" s="192">
        <f>'Додаток2 скор'!U14</f>
        <v>0</v>
      </c>
      <c r="J18" s="192">
        <f>I18/$I$11*1000</f>
        <v>0</v>
      </c>
    </row>
    <row r="19" spans="1:10" ht="16.5">
      <c r="A19" s="191" t="s">
        <v>190</v>
      </c>
      <c r="B19" s="183" t="s">
        <v>191</v>
      </c>
      <c r="C19" s="192">
        <f>E19+G19+I19</f>
        <v>0</v>
      </c>
      <c r="D19" s="192">
        <f>C19/$C$11*1000</f>
        <v>0</v>
      </c>
      <c r="E19" s="192">
        <f>'Додаток2 скор'!K17</f>
        <v>0</v>
      </c>
      <c r="F19" s="192">
        <f>E19/$E$11*1000</f>
        <v>0</v>
      </c>
      <c r="G19" s="192">
        <f>'Додаток2 скор'!P17</f>
        <v>0</v>
      </c>
      <c r="H19" s="192">
        <f>G19/$G$11*1000</f>
        <v>0</v>
      </c>
      <c r="I19" s="192">
        <f>'Додаток2 скор'!U17</f>
        <v>0</v>
      </c>
      <c r="J19" s="192">
        <f>I19/$I$11*1000</f>
        <v>0</v>
      </c>
    </row>
    <row r="20" spans="1:10" ht="49.5">
      <c r="A20" s="189" t="s">
        <v>45</v>
      </c>
      <c r="B20" s="188" t="s">
        <v>192</v>
      </c>
      <c r="C20" s="184">
        <f>E20+G20+I20</f>
        <v>16886.708986000005</v>
      </c>
      <c r="D20" s="184" t="e">
        <f>ROUND(C20/C12/12*1000,2)</f>
        <v>#DIV/0!</v>
      </c>
      <c r="E20" s="184">
        <f>'Додаток2 скор'!H41-Двоставк!E15</f>
        <v>12025.50121914559</v>
      </c>
      <c r="F20" s="184" t="e">
        <f>E20/E12/12*1000</f>
        <v>#DIV/0!</v>
      </c>
      <c r="G20" s="63">
        <f>'Додаток2 скор'!P41-Двоставк!G15</f>
        <v>4020.1754352341777</v>
      </c>
      <c r="H20" s="184" t="e">
        <f>G20/G12/12*1000</f>
        <v>#DIV/0!</v>
      </c>
      <c r="I20" s="184">
        <f>'Додаток2 скор'!U41-Двоставк!I15</f>
        <v>841.0323316202357</v>
      </c>
      <c r="J20" s="184" t="e">
        <f>I20/I12/12*1000</f>
        <v>#DIV/0!</v>
      </c>
    </row>
    <row r="21" spans="1:10" ht="49.5">
      <c r="A21" s="187">
        <v>4</v>
      </c>
      <c r="B21" s="188" t="s">
        <v>193</v>
      </c>
      <c r="C21" s="184">
        <f>ROUNDUP(E21+G21+I21,2)</f>
        <v>2125.7200000000003</v>
      </c>
      <c r="D21" s="184"/>
      <c r="E21" s="184">
        <f>'Додаток2 скор'!H42</f>
        <v>0</v>
      </c>
      <c r="F21" s="184"/>
      <c r="G21" s="184">
        <f>'Додаток2 скор'!P42</f>
        <v>1701.5312178546174</v>
      </c>
      <c r="H21" s="184"/>
      <c r="I21" s="184">
        <f>'Додаток2 скор'!U42</f>
        <v>424.18722236315705</v>
      </c>
      <c r="J21" s="184"/>
    </row>
    <row r="22" spans="1:10" ht="16.5">
      <c r="A22" s="191" t="s">
        <v>194</v>
      </c>
      <c r="B22" s="183" t="s">
        <v>195</v>
      </c>
      <c r="C22" s="192">
        <f>E22+G22+I22</f>
        <v>1834.0459742065095</v>
      </c>
      <c r="D22" s="192">
        <f>ROUND(C22/C11*1000,2)</f>
        <v>8.65</v>
      </c>
      <c r="E22" s="192">
        <f>E$21/$E$14*E$15</f>
        <v>0</v>
      </c>
      <c r="F22" s="192">
        <f>ROUND(E22/E11*1000,2)</f>
        <v>0</v>
      </c>
      <c r="G22" s="192">
        <f>G$21/$G$14*G$15</f>
        <v>1460.3206917405666</v>
      </c>
      <c r="H22" s="192">
        <f>G22/G11*1000</f>
        <v>28.94240698675951</v>
      </c>
      <c r="I22" s="192">
        <f>I$21/$I$14*I$15</f>
        <v>373.72528246594294</v>
      </c>
      <c r="J22" s="192">
        <f>I22/I11*1000</f>
        <v>35.405538168125894</v>
      </c>
    </row>
    <row r="23" spans="1:10" ht="16.5">
      <c r="A23" s="191" t="s">
        <v>196</v>
      </c>
      <c r="B23" s="183" t="s">
        <v>197</v>
      </c>
      <c r="C23" s="192">
        <f>E23+G23+I23</f>
        <v>291.6724660112648</v>
      </c>
      <c r="D23" s="192" t="e">
        <f>ROUND(C23/12/C12*1000,2)</f>
        <v>#DIV/0!</v>
      </c>
      <c r="E23" s="192">
        <f>E$21/$E$14*E$20</f>
        <v>0</v>
      </c>
      <c r="F23" s="192" t="e">
        <f>ROUND(E23/12/E12*1000,2)</f>
        <v>#DIV/0!</v>
      </c>
      <c r="G23" s="192">
        <f>G$21/$G$14*G$20</f>
        <v>241.21052611405065</v>
      </c>
      <c r="H23" s="192" t="e">
        <f>ROUNDUP(G23/G12/12*1000,2)</f>
        <v>#DIV/0!</v>
      </c>
      <c r="I23" s="192">
        <f>I$21/$I$14*I$20</f>
        <v>50.461939897214144</v>
      </c>
      <c r="J23" s="192" t="e">
        <f>I23/I12/12*1000</f>
        <v>#DIV/0!</v>
      </c>
    </row>
    <row r="24" spans="1:10" ht="66">
      <c r="A24" s="187">
        <v>5</v>
      </c>
      <c r="B24" s="188" t="s">
        <v>198</v>
      </c>
      <c r="C24" s="184"/>
      <c r="D24" s="184">
        <f>ROUNDUP(D25+D26,2)</f>
        <v>305.06</v>
      </c>
      <c r="E24" s="184"/>
      <c r="F24" s="184">
        <f>F25+F26</f>
        <v>213.69</v>
      </c>
      <c r="G24" s="184"/>
      <c r="H24" s="184">
        <f>H25+H26</f>
        <v>511.3224069867595</v>
      </c>
      <c r="I24" s="184"/>
      <c r="J24" s="184">
        <f>ROUNDDOWN(J25+J26,2)</f>
        <v>625.5</v>
      </c>
    </row>
    <row r="25" spans="1:10" ht="16.5">
      <c r="A25" s="191" t="s">
        <v>199</v>
      </c>
      <c r="B25" s="183" t="s">
        <v>200</v>
      </c>
      <c r="C25" s="192"/>
      <c r="D25" s="192">
        <f>D15</f>
        <v>296.4046</v>
      </c>
      <c r="E25" s="192"/>
      <c r="F25" s="192">
        <f>F15</f>
        <v>213.69</v>
      </c>
      <c r="G25" s="192"/>
      <c r="H25" s="192">
        <f>H15</f>
        <v>482.38</v>
      </c>
      <c r="I25" s="192"/>
      <c r="J25" s="192">
        <f>J15</f>
        <v>590.1</v>
      </c>
    </row>
    <row r="26" spans="1:10" ht="16.5">
      <c r="A26" s="191" t="s">
        <v>201</v>
      </c>
      <c r="B26" s="183" t="s">
        <v>202</v>
      </c>
      <c r="C26" s="192"/>
      <c r="D26" s="192">
        <f>D22</f>
        <v>8.65</v>
      </c>
      <c r="E26" s="192"/>
      <c r="F26" s="192">
        <f>F22</f>
        <v>0</v>
      </c>
      <c r="G26" s="192"/>
      <c r="H26" s="192">
        <f>H22</f>
        <v>28.94240698675951</v>
      </c>
      <c r="I26" s="192"/>
      <c r="J26" s="192">
        <f>J22</f>
        <v>35.405538168125894</v>
      </c>
    </row>
    <row r="27" spans="1:10" ht="16.5" hidden="1">
      <c r="A27" s="191" t="s">
        <v>203</v>
      </c>
      <c r="B27" s="183" t="s">
        <v>204</v>
      </c>
      <c r="C27" s="193">
        <f>E27+G27+I27</f>
        <v>12.62</v>
      </c>
      <c r="D27" s="193">
        <v>0</v>
      </c>
      <c r="E27" s="193">
        <v>0</v>
      </c>
      <c r="F27" s="193">
        <v>0</v>
      </c>
      <c r="G27" s="193">
        <v>2.94</v>
      </c>
      <c r="H27" s="193">
        <v>0</v>
      </c>
      <c r="I27" s="193">
        <v>9.68</v>
      </c>
      <c r="J27" s="193">
        <v>0</v>
      </c>
    </row>
    <row r="28" spans="1:10" ht="99">
      <c r="A28" s="187">
        <v>6</v>
      </c>
      <c r="B28" s="194" t="s">
        <v>205</v>
      </c>
      <c r="C28" s="195"/>
      <c r="D28" s="195" t="e">
        <f>D29+D30</f>
        <v>#DIV/0!</v>
      </c>
      <c r="E28" s="195"/>
      <c r="F28" s="195" t="e">
        <f>F29+F30</f>
        <v>#DIV/0!</v>
      </c>
      <c r="G28" s="195"/>
      <c r="H28" s="195" t="e">
        <f>H29+H30</f>
        <v>#DIV/0!</v>
      </c>
      <c r="I28" s="195"/>
      <c r="J28" s="195" t="e">
        <f>ROUNDDOWN(J29+J30,2)</f>
        <v>#DIV/0!</v>
      </c>
    </row>
    <row r="29" spans="1:10" ht="16.5">
      <c r="A29" s="191" t="s">
        <v>206</v>
      </c>
      <c r="B29" s="183" t="s">
        <v>207</v>
      </c>
      <c r="C29" s="196"/>
      <c r="D29" s="196" t="e">
        <f>D20</f>
        <v>#DIV/0!</v>
      </c>
      <c r="E29" s="196"/>
      <c r="F29" s="196" t="e">
        <f>F20</f>
        <v>#DIV/0!</v>
      </c>
      <c r="G29" s="196"/>
      <c r="H29" s="196" t="e">
        <f>H20</f>
        <v>#DIV/0!</v>
      </c>
      <c r="I29" s="196"/>
      <c r="J29" s="196" t="e">
        <f>J20</f>
        <v>#DIV/0!</v>
      </c>
    </row>
    <row r="30" spans="1:10" ht="16.5">
      <c r="A30" s="191" t="s">
        <v>208</v>
      </c>
      <c r="B30" s="183" t="s">
        <v>202</v>
      </c>
      <c r="C30" s="196"/>
      <c r="D30" s="196" t="e">
        <f>D23</f>
        <v>#DIV/0!</v>
      </c>
      <c r="E30" s="196"/>
      <c r="F30" s="196" t="e">
        <f>F23</f>
        <v>#DIV/0!</v>
      </c>
      <c r="G30" s="196"/>
      <c r="H30" s="196" t="e">
        <f>H23</f>
        <v>#DIV/0!</v>
      </c>
      <c r="I30" s="196"/>
      <c r="J30" s="196" t="e">
        <f>J23</f>
        <v>#DIV/0!</v>
      </c>
    </row>
    <row r="31" spans="1:10" ht="13.5" hidden="1">
      <c r="A31" s="197" t="s">
        <v>209</v>
      </c>
      <c r="B31" s="198" t="s">
        <v>204</v>
      </c>
      <c r="C31" s="199">
        <v>2.8772614173753674</v>
      </c>
      <c r="D31" s="199"/>
      <c r="E31" s="199">
        <v>0</v>
      </c>
      <c r="F31" s="197">
        <f>E31/$E$11*1000</f>
        <v>0</v>
      </c>
      <c r="G31" s="199">
        <v>15</v>
      </c>
      <c r="H31" s="199"/>
      <c r="I31" s="199">
        <v>23.5</v>
      </c>
      <c r="J31" s="200"/>
    </row>
    <row r="32" spans="1:10" ht="18.75" customHeight="1">
      <c r="A32" s="318" t="s">
        <v>210</v>
      </c>
      <c r="B32" s="318"/>
      <c r="C32" s="318"/>
      <c r="D32" s="318"/>
      <c r="E32" s="318"/>
      <c r="F32" s="318"/>
      <c r="G32" s="318"/>
      <c r="H32" s="318"/>
      <c r="I32" s="318"/>
      <c r="J32" s="318"/>
    </row>
    <row r="33" spans="1:10" ht="49.5">
      <c r="A33" s="187">
        <v>7</v>
      </c>
      <c r="B33" s="188" t="s">
        <v>211</v>
      </c>
      <c r="C33" s="184" t="e">
        <f>E33+G33+I33</f>
        <v>#REF!</v>
      </c>
      <c r="D33" s="184" t="e">
        <f>C33/12/C12*1000</f>
        <v>#REF!</v>
      </c>
      <c r="E33" s="184">
        <f>Додаток3!E37</f>
        <v>7332.466135393245</v>
      </c>
      <c r="F33" s="184" t="e">
        <f>ROUND(E33/E12/12*1000,24)</f>
        <v>#DIV/0!</v>
      </c>
      <c r="G33" s="184">
        <f>Додаток3!G37</f>
        <v>9016.97</v>
      </c>
      <c r="H33" s="184" t="e">
        <f>ROUND(G33/G12/12*1000,2)</f>
        <v>#DIV/0!</v>
      </c>
      <c r="I33" s="184" t="e">
        <f>Додаток3!#REF!</f>
        <v>#REF!</v>
      </c>
      <c r="J33" s="184" t="e">
        <f>ROUND(I33/I12/12*1000,2)</f>
        <v>#REF!</v>
      </c>
    </row>
    <row r="34" spans="1:10" ht="33">
      <c r="A34" s="182">
        <v>8</v>
      </c>
      <c r="B34" s="183" t="s">
        <v>212</v>
      </c>
      <c r="C34" s="192" t="e">
        <f>E34+G34+I34</f>
        <v>#REF!</v>
      </c>
      <c r="D34" s="192" t="e">
        <f>C34/C12/12*1000</f>
        <v>#REF!</v>
      </c>
      <c r="E34" s="192">
        <f>Додаток3!E39</f>
        <v>0</v>
      </c>
      <c r="F34" s="192" t="e">
        <f>E34/E12/12*1000</f>
        <v>#DIV/0!</v>
      </c>
      <c r="G34" s="192">
        <f>Додаток3!G39</f>
        <v>0</v>
      </c>
      <c r="H34" s="192" t="e">
        <f>G34/G12/12*1000</f>
        <v>#DIV/0!</v>
      </c>
      <c r="I34" s="192" t="e">
        <f>Додаток3!#REF!</f>
        <v>#REF!</v>
      </c>
      <c r="J34" s="192" t="e">
        <f>I34/I12/12*1000</f>
        <v>#REF!</v>
      </c>
    </row>
    <row r="35" spans="1:10" ht="82.5">
      <c r="A35" s="187">
        <v>9</v>
      </c>
      <c r="B35" s="188" t="s">
        <v>213</v>
      </c>
      <c r="C35" s="195"/>
      <c r="D35" s="195" t="e">
        <f>D36+D37</f>
        <v>#REF!</v>
      </c>
      <c r="E35" s="195"/>
      <c r="F35" s="195" t="e">
        <f>F36+F37</f>
        <v>#DIV/0!</v>
      </c>
      <c r="G35" s="195"/>
      <c r="H35" s="195" t="e">
        <f>H36+H37</f>
        <v>#DIV/0!</v>
      </c>
      <c r="I35" s="195"/>
      <c r="J35" s="195" t="e">
        <f>J36+J37</f>
        <v>#REF!</v>
      </c>
    </row>
    <row r="36" spans="1:10" ht="16.5">
      <c r="A36" s="191" t="s">
        <v>214</v>
      </c>
      <c r="B36" s="183" t="s">
        <v>207</v>
      </c>
      <c r="C36" s="192"/>
      <c r="D36" s="192" t="e">
        <f>D33</f>
        <v>#REF!</v>
      </c>
      <c r="E36" s="192"/>
      <c r="F36" s="192" t="e">
        <f>F33</f>
        <v>#DIV/0!</v>
      </c>
      <c r="G36" s="192"/>
      <c r="H36" s="192" t="e">
        <f>H33</f>
        <v>#DIV/0!</v>
      </c>
      <c r="I36" s="192"/>
      <c r="J36" s="192" t="e">
        <f>J33</f>
        <v>#REF!</v>
      </c>
    </row>
    <row r="37" spans="1:10" ht="16.5">
      <c r="A37" s="191" t="s">
        <v>215</v>
      </c>
      <c r="B37" s="183" t="s">
        <v>216</v>
      </c>
      <c r="C37" s="192"/>
      <c r="D37" s="192" t="e">
        <f>D34</f>
        <v>#REF!</v>
      </c>
      <c r="E37" s="192"/>
      <c r="F37" s="192" t="e">
        <f>F34</f>
        <v>#DIV/0!</v>
      </c>
      <c r="G37" s="192"/>
      <c r="H37" s="192" t="e">
        <f>H34</f>
        <v>#DIV/0!</v>
      </c>
      <c r="I37" s="192"/>
      <c r="J37" s="192" t="e">
        <f>J34</f>
        <v>#REF!</v>
      </c>
    </row>
    <row r="38" spans="1:10" ht="13.5" hidden="1">
      <c r="A38" s="197" t="s">
        <v>217</v>
      </c>
      <c r="B38" s="198" t="s">
        <v>204</v>
      </c>
      <c r="C38" s="197">
        <v>0.9693480929149638</v>
      </c>
      <c r="D38" s="197"/>
      <c r="E38" s="197">
        <v>0</v>
      </c>
      <c r="F38" s="197"/>
      <c r="G38" s="197">
        <v>3.84</v>
      </c>
      <c r="H38" s="197"/>
      <c r="I38" s="197">
        <v>10.7</v>
      </c>
      <c r="J38" s="201"/>
    </row>
    <row r="39" spans="1:10" ht="18.75" customHeight="1">
      <c r="A39" s="318" t="s">
        <v>218</v>
      </c>
      <c r="B39" s="318"/>
      <c r="C39" s="318"/>
      <c r="D39" s="318"/>
      <c r="E39" s="318"/>
      <c r="F39" s="318"/>
      <c r="G39" s="318"/>
      <c r="H39" s="318"/>
      <c r="I39" s="318"/>
      <c r="J39" s="318"/>
    </row>
    <row r="40" spans="1:10" ht="49.5">
      <c r="A40" s="187">
        <v>10</v>
      </c>
      <c r="B40" s="188" t="s">
        <v>219</v>
      </c>
      <c r="C40" s="184" t="e">
        <f>E40+G40+I40</f>
        <v>#REF!</v>
      </c>
      <c r="D40" s="184" t="e">
        <f>ROUNDDOWN(C40/12/C12*1000,2)</f>
        <v>#REF!</v>
      </c>
      <c r="E40" s="184">
        <f>Додаток4!E32</f>
        <v>165.74840198155772</v>
      </c>
      <c r="F40" s="184" t="e">
        <f>ROUND(E40/12/E12*1000,2)</f>
        <v>#DIV/0!</v>
      </c>
      <c r="G40" s="184">
        <f>Додаток4!G32</f>
        <v>206.88</v>
      </c>
      <c r="H40" s="184" t="e">
        <f>ROUND(G40/12/G12*1000,2)</f>
        <v>#DIV/0!</v>
      </c>
      <c r="I40" s="184" t="e">
        <f>Додаток4!#REF!</f>
        <v>#REF!</v>
      </c>
      <c r="J40" s="184" t="e">
        <f>ROUND(I40/12/I12*1000,2)</f>
        <v>#REF!</v>
      </c>
    </row>
    <row r="41" spans="1:10" ht="33">
      <c r="A41" s="182">
        <v>11</v>
      </c>
      <c r="B41" s="183" t="s">
        <v>220</v>
      </c>
      <c r="C41" s="192" t="e">
        <f>E41+G41+I41</f>
        <v>#REF!</v>
      </c>
      <c r="D41" s="192" t="e">
        <f>C41/12/C12*1000</f>
        <v>#REF!</v>
      </c>
      <c r="E41" s="192">
        <f>Додаток4!E34</f>
        <v>0</v>
      </c>
      <c r="F41" s="192" t="e">
        <f>E41/12/E12*1000</f>
        <v>#DIV/0!</v>
      </c>
      <c r="G41" s="192">
        <f>Додаток4!G34</f>
        <v>0</v>
      </c>
      <c r="H41" s="192" t="e">
        <f>G41/12/G12*1000</f>
        <v>#DIV/0!</v>
      </c>
      <c r="I41" s="192" t="e">
        <f>Додаток4!#REF!</f>
        <v>#REF!</v>
      </c>
      <c r="J41" s="192" t="e">
        <f>I41/12/I12*1000</f>
        <v>#REF!</v>
      </c>
    </row>
    <row r="42" spans="1:10" ht="66">
      <c r="A42" s="187">
        <v>12</v>
      </c>
      <c r="B42" s="188" t="s">
        <v>221</v>
      </c>
      <c r="C42" s="184"/>
      <c r="D42" s="184" t="e">
        <f>D43+D44</f>
        <v>#REF!</v>
      </c>
      <c r="E42" s="184"/>
      <c r="F42" s="184" t="e">
        <f>F43+F44</f>
        <v>#DIV/0!</v>
      </c>
      <c r="G42" s="184"/>
      <c r="H42" s="184" t="e">
        <f>H43+H44</f>
        <v>#DIV/0!</v>
      </c>
      <c r="I42" s="184"/>
      <c r="J42" s="184" t="e">
        <f>H42</f>
        <v>#DIV/0!</v>
      </c>
    </row>
    <row r="43" spans="1:10" ht="16.5">
      <c r="A43" s="191" t="s">
        <v>222</v>
      </c>
      <c r="B43" s="183" t="s">
        <v>207</v>
      </c>
      <c r="C43" s="192"/>
      <c r="D43" s="192" t="e">
        <f>D40</f>
        <v>#REF!</v>
      </c>
      <c r="E43" s="192"/>
      <c r="F43" s="192" t="e">
        <f>F40</f>
        <v>#DIV/0!</v>
      </c>
      <c r="G43" s="192"/>
      <c r="H43" s="192" t="e">
        <f>H40</f>
        <v>#DIV/0!</v>
      </c>
      <c r="I43" s="192"/>
      <c r="J43" s="192" t="e">
        <f>J40</f>
        <v>#REF!</v>
      </c>
    </row>
    <row r="44" spans="1:10" ht="16.5">
      <c r="A44" s="191" t="s">
        <v>223</v>
      </c>
      <c r="B44" s="183" t="s">
        <v>224</v>
      </c>
      <c r="C44" s="192"/>
      <c r="D44" s="192" t="e">
        <f>D41</f>
        <v>#REF!</v>
      </c>
      <c r="E44" s="192"/>
      <c r="F44" s="192" t="e">
        <f>F41</f>
        <v>#DIV/0!</v>
      </c>
      <c r="G44" s="192"/>
      <c r="H44" s="192" t="e">
        <f>H41</f>
        <v>#DIV/0!</v>
      </c>
      <c r="I44" s="192"/>
      <c r="J44" s="192" t="e">
        <f>J41</f>
        <v>#REF!</v>
      </c>
    </row>
    <row r="45" spans="1:10" ht="18.75" customHeight="1">
      <c r="A45" s="319" t="s">
        <v>225</v>
      </c>
      <c r="B45" s="319"/>
      <c r="C45" s="319"/>
      <c r="D45" s="319"/>
      <c r="E45" s="319"/>
      <c r="F45" s="319"/>
      <c r="G45" s="319"/>
      <c r="H45" s="319"/>
      <c r="I45" s="319"/>
      <c r="J45" s="319"/>
    </row>
    <row r="46" spans="1:10" ht="49.5">
      <c r="A46" s="187">
        <v>13</v>
      </c>
      <c r="B46" s="188" t="s">
        <v>226</v>
      </c>
      <c r="C46" s="184"/>
      <c r="D46" s="184">
        <f>ROUNDUP(D47+D48,2)</f>
        <v>305.06</v>
      </c>
      <c r="E46" s="184"/>
      <c r="F46" s="184">
        <f>F47+F48</f>
        <v>213.69</v>
      </c>
      <c r="G46" s="184"/>
      <c r="H46" s="184">
        <f>H47+H48</f>
        <v>511.3224069867595</v>
      </c>
      <c r="I46" s="184"/>
      <c r="J46" s="184">
        <f>ROUNDDOWN(J47+J48,2)</f>
        <v>625.5</v>
      </c>
    </row>
    <row r="47" spans="1:10" ht="16.5">
      <c r="A47" s="191" t="s">
        <v>227</v>
      </c>
      <c r="B47" s="183" t="s">
        <v>207</v>
      </c>
      <c r="C47" s="192"/>
      <c r="D47" s="192">
        <f>D25</f>
        <v>296.4046</v>
      </c>
      <c r="E47" s="192"/>
      <c r="F47" s="192">
        <f>F25</f>
        <v>213.69</v>
      </c>
      <c r="G47" s="192"/>
      <c r="H47" s="192">
        <f>H25</f>
        <v>482.38</v>
      </c>
      <c r="I47" s="192"/>
      <c r="J47" s="192">
        <f>J25</f>
        <v>590.1</v>
      </c>
    </row>
    <row r="48" spans="1:10" ht="16.5">
      <c r="A48" s="191" t="s">
        <v>228</v>
      </c>
      <c r="B48" s="183" t="s">
        <v>202</v>
      </c>
      <c r="C48" s="192"/>
      <c r="D48" s="192">
        <f>D26</f>
        <v>8.65</v>
      </c>
      <c r="E48" s="192"/>
      <c r="F48" s="192">
        <f>F26</f>
        <v>0</v>
      </c>
      <c r="G48" s="192"/>
      <c r="H48" s="192">
        <f>H26</f>
        <v>28.94240698675951</v>
      </c>
      <c r="I48" s="192"/>
      <c r="J48" s="192">
        <f>J26</f>
        <v>35.405538168125894</v>
      </c>
    </row>
    <row r="49" spans="1:10" ht="16.5" hidden="1">
      <c r="A49" s="191" t="s">
        <v>229</v>
      </c>
      <c r="B49" s="183" t="s">
        <v>204</v>
      </c>
      <c r="C49" s="192"/>
      <c r="D49" s="192">
        <v>0</v>
      </c>
      <c r="E49" s="192"/>
      <c r="F49" s="192">
        <v>0</v>
      </c>
      <c r="G49" s="192"/>
      <c r="H49" s="192">
        <v>0</v>
      </c>
      <c r="I49" s="192"/>
      <c r="J49" s="192">
        <v>0</v>
      </c>
    </row>
    <row r="50" spans="1:10" ht="99">
      <c r="A50" s="187">
        <v>14</v>
      </c>
      <c r="B50" s="188" t="s">
        <v>230</v>
      </c>
      <c r="C50" s="184"/>
      <c r="D50" s="184" t="e">
        <f>D51+D52</f>
        <v>#DIV/0!</v>
      </c>
      <c r="E50" s="184"/>
      <c r="F50" s="184" t="e">
        <f>ROUNDUP(F51+F52,2)</f>
        <v>#DIV/0!</v>
      </c>
      <c r="G50" s="184"/>
      <c r="H50" s="184" t="e">
        <f>H51+H52</f>
        <v>#DIV/0!</v>
      </c>
      <c r="I50" s="184"/>
      <c r="J50" s="184" t="e">
        <f>J51+J52</f>
        <v>#DIV/0!</v>
      </c>
    </row>
    <row r="51" spans="1:10" ht="16.5">
      <c r="A51" s="191" t="s">
        <v>231</v>
      </c>
      <c r="B51" s="183" t="s">
        <v>207</v>
      </c>
      <c r="C51" s="192"/>
      <c r="D51" s="192" t="e">
        <f>D29+D36+D43</f>
        <v>#DIV/0!</v>
      </c>
      <c r="E51" s="192"/>
      <c r="F51" s="192" t="e">
        <f>ROUNDUP(F29+F36+F43,2)</f>
        <v>#DIV/0!</v>
      </c>
      <c r="G51" s="192"/>
      <c r="H51" s="192" t="e">
        <f>H29+H36+H43</f>
        <v>#DIV/0!</v>
      </c>
      <c r="I51" s="192"/>
      <c r="J51" s="192" t="e">
        <f>J29+J36+J43</f>
        <v>#DIV/0!</v>
      </c>
    </row>
    <row r="52" spans="1:10" ht="16.5">
      <c r="A52" s="191" t="s">
        <v>232</v>
      </c>
      <c r="B52" s="183" t="s">
        <v>202</v>
      </c>
      <c r="C52" s="192"/>
      <c r="D52" s="192" t="e">
        <f>D30+D37+D44</f>
        <v>#DIV/0!</v>
      </c>
      <c r="E52" s="192"/>
      <c r="F52" s="192" t="e">
        <f>F30+F37+F44</f>
        <v>#DIV/0!</v>
      </c>
      <c r="G52" s="192"/>
      <c r="H52" s="192" t="e">
        <f>H30+H37+H44</f>
        <v>#DIV/0!</v>
      </c>
      <c r="I52" s="192"/>
      <c r="J52" s="192" t="e">
        <f>J30+J37+J44</f>
        <v>#DIV/0!</v>
      </c>
    </row>
    <row r="53" spans="1:10" ht="13.5" hidden="1">
      <c r="A53" s="202" t="s">
        <v>233</v>
      </c>
      <c r="B53" s="203" t="s">
        <v>204</v>
      </c>
      <c r="C53" s="204">
        <v>1.9263131866225296</v>
      </c>
      <c r="D53" s="204"/>
      <c r="E53" s="204">
        <v>0</v>
      </c>
      <c r="F53" s="204"/>
      <c r="G53" s="204">
        <v>9.878633500908602</v>
      </c>
      <c r="H53" s="204"/>
      <c r="I53" s="204">
        <v>17.62603125552242</v>
      </c>
      <c r="J53" s="205"/>
    </row>
    <row r="54" spans="1:10" ht="13.5">
      <c r="A54" s="175"/>
      <c r="B54" s="175"/>
      <c r="C54" s="175"/>
      <c r="D54" s="175"/>
      <c r="E54" s="175"/>
      <c r="F54" s="175"/>
      <c r="G54" s="175"/>
      <c r="H54" s="175"/>
      <c r="I54" s="175"/>
      <c r="J54" s="205"/>
    </row>
    <row r="55" spans="1:10" ht="13.5">
      <c r="A55" s="175"/>
      <c r="B55" s="175"/>
      <c r="C55" s="175"/>
      <c r="D55" s="175"/>
      <c r="E55" s="175"/>
      <c r="F55" s="175"/>
      <c r="G55" s="175"/>
      <c r="H55" s="175"/>
      <c r="I55" s="175"/>
      <c r="J55" s="205"/>
    </row>
    <row r="56" spans="1:10" ht="18.75">
      <c r="A56" s="206" t="s">
        <v>234</v>
      </c>
      <c r="B56" s="206"/>
      <c r="C56" s="207"/>
      <c r="D56" s="207"/>
      <c r="E56" s="207"/>
      <c r="F56" s="207"/>
      <c r="G56" s="207"/>
      <c r="H56" s="206" t="s">
        <v>235</v>
      </c>
      <c r="J56" s="206"/>
    </row>
  </sheetData>
  <sheetProtection selectLockedCells="1" selectUnlockedCells="1"/>
  <mergeCells count="12">
    <mergeCell ref="A13:J13"/>
    <mergeCell ref="A32:J32"/>
    <mergeCell ref="A39:J39"/>
    <mergeCell ref="A45:J45"/>
    <mergeCell ref="A5:J5"/>
    <mergeCell ref="A6:J6"/>
    <mergeCell ref="A8:A9"/>
    <mergeCell ref="B8:B9"/>
    <mergeCell ref="C8:D8"/>
    <mergeCell ref="E8:F8"/>
    <mergeCell ref="G8:H8"/>
    <mergeCell ref="I8:J8"/>
  </mergeCells>
  <printOptions horizontalCentered="1"/>
  <pageMargins left="0" right="0" top="0.3" bottom="0.1701388888888889" header="0.5118055555555555" footer="0.5118055555555555"/>
  <pageSetup horizontalDpi="300" verticalDpi="3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M22"/>
  <sheetViews>
    <sheetView view="pageBreakPreview" zoomScaleSheetLayoutView="100" zoomScalePageLayoutView="0" workbookViewId="0" topLeftCell="A10">
      <selection activeCell="C38" sqref="C38"/>
    </sheetView>
  </sheetViews>
  <sheetFormatPr defaultColWidth="9.140625" defaultRowHeight="12.75"/>
  <cols>
    <col min="1" max="1" width="7.28125" style="208" customWidth="1"/>
    <col min="2" max="2" width="46.7109375" style="208" customWidth="1"/>
    <col min="3" max="3" width="37.7109375" style="208" customWidth="1"/>
    <col min="4" max="5" width="9.140625" style="208" customWidth="1"/>
    <col min="6" max="6" width="33.57421875" style="208" customWidth="1"/>
    <col min="7" max="16384" width="9.140625" style="208" customWidth="1"/>
  </cols>
  <sheetData>
    <row r="1" spans="3:13" ht="15.75">
      <c r="C1" s="209" t="s">
        <v>236</v>
      </c>
      <c r="D1" s="210"/>
      <c r="E1" s="210"/>
      <c r="F1" s="210"/>
      <c r="G1" s="210"/>
      <c r="H1" s="210"/>
      <c r="I1" s="211"/>
      <c r="J1" s="211"/>
      <c r="K1" s="211"/>
      <c r="L1" s="211"/>
      <c r="M1" s="212"/>
    </row>
    <row r="2" spans="3:13" ht="15.75">
      <c r="C2" s="213" t="s">
        <v>237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3:13" ht="15.75">
      <c r="C3" s="215" t="s">
        <v>238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3:13" ht="15.75">
      <c r="C4" s="215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7" spans="2:3" ht="16.5">
      <c r="B7" s="320" t="s">
        <v>239</v>
      </c>
      <c r="C7" s="320"/>
    </row>
    <row r="8" spans="2:3" ht="16.5" customHeight="1">
      <c r="B8" s="320" t="str">
        <f>Додаток1!A6&amp;" на 2014 рік"</f>
        <v>КП "Лисичанськтепломережа" на 2014 рік</v>
      </c>
      <c r="C8" s="320"/>
    </row>
    <row r="12" spans="2:3" ht="15.75">
      <c r="B12" s="217" t="s">
        <v>240</v>
      </c>
      <c r="C12" s="217" t="s">
        <v>241</v>
      </c>
    </row>
    <row r="13" spans="2:3" ht="15.75">
      <c r="B13" s="218" t="s">
        <v>242</v>
      </c>
      <c r="C13" s="219" t="e">
        <f>C14*1.2</f>
        <v>#REF!</v>
      </c>
    </row>
    <row r="14" spans="2:3" ht="15.75">
      <c r="B14" s="218" t="s">
        <v>243</v>
      </c>
      <c r="C14" s="219" t="e">
        <f>C15+C16+C17</f>
        <v>#REF!</v>
      </c>
    </row>
    <row r="15" spans="2:3" ht="15.75">
      <c r="B15" s="218" t="s">
        <v>244</v>
      </c>
      <c r="C15" s="219">
        <v>1526016.468158548</v>
      </c>
    </row>
    <row r="16" spans="2:6" ht="63">
      <c r="B16" s="218" t="s">
        <v>245</v>
      </c>
      <c r="C16" s="219" t="e">
        <f>Додаток1!C42*1000</f>
        <v>#REF!</v>
      </c>
      <c r="F16" s="220"/>
    </row>
    <row r="17" spans="2:3" ht="15.75">
      <c r="B17" s="218" t="s">
        <v>246</v>
      </c>
      <c r="C17" s="219">
        <v>0</v>
      </c>
    </row>
    <row r="20" spans="1:8" ht="58.5" customHeight="1">
      <c r="A20" s="221" t="s">
        <v>247</v>
      </c>
      <c r="B20" s="321" t="s">
        <v>248</v>
      </c>
      <c r="C20" s="321"/>
      <c r="D20" s="321"/>
      <c r="E20" s="222"/>
      <c r="F20" s="144"/>
      <c r="G20" s="144"/>
      <c r="H20" s="145"/>
    </row>
    <row r="21" spans="1:10" ht="15">
      <c r="A21" s="223"/>
      <c r="B21" s="223"/>
      <c r="C21" s="223"/>
      <c r="D21" s="223"/>
      <c r="E21" s="224"/>
      <c r="F21" s="224"/>
      <c r="G21" s="224"/>
      <c r="H21" s="224"/>
      <c r="I21" s="225"/>
      <c r="J21" s="226"/>
    </row>
    <row r="22" spans="1:4" s="228" customFormat="1" ht="45" customHeight="1">
      <c r="A22" s="227"/>
      <c r="B22" s="321" t="s">
        <v>249</v>
      </c>
      <c r="C22" s="321"/>
      <c r="D22" s="321"/>
    </row>
  </sheetData>
  <sheetProtection selectLockedCells="1" selectUnlockedCells="1"/>
  <mergeCells count="4">
    <mergeCell ref="B7:C7"/>
    <mergeCell ref="B8:C8"/>
    <mergeCell ref="B20:D20"/>
    <mergeCell ref="B22:D22"/>
  </mergeCells>
  <printOptions/>
  <pageMargins left="0.7" right="0.7" top="0.75" bottom="0.75" header="0.5118055555555555" footer="0.5118055555555555"/>
  <pageSetup horizontalDpi="300" verticalDpi="300" orientation="portrait" paperSize="9" scale="97" r:id="rId1"/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57"/>
  <sheetViews>
    <sheetView view="pageBreakPreview"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40" sqref="J40"/>
    </sheetView>
  </sheetViews>
  <sheetFormatPr defaultColWidth="11.57421875" defaultRowHeight="12.75"/>
  <cols>
    <col min="1" max="1" width="6.421875" style="229" customWidth="1"/>
    <col min="2" max="2" width="52.28125" style="229" customWidth="1"/>
    <col min="3" max="3" width="11.8515625" style="229" customWidth="1"/>
    <col min="4" max="4" width="12.57421875" style="230" customWidth="1"/>
    <col min="5" max="5" width="11.28125" style="230" customWidth="1"/>
    <col min="6" max="6" width="13.421875" style="230" customWidth="1"/>
    <col min="7" max="7" width="10.28125" style="230" customWidth="1"/>
    <col min="8" max="8" width="12.421875" style="230" customWidth="1"/>
    <col min="9" max="9" width="10.28125" style="230" customWidth="1"/>
    <col min="10" max="10" width="12.7109375" style="230" customWidth="1"/>
    <col min="11" max="20" width="0" style="229" hidden="1" customWidth="1"/>
    <col min="21" max="21" width="8.00390625" style="229" customWidth="1"/>
    <col min="22" max="16384" width="11.57421875" style="229" customWidth="1"/>
  </cols>
  <sheetData>
    <row r="1" spans="5:15" ht="19.5">
      <c r="E1" s="231"/>
      <c r="F1" s="231"/>
      <c r="H1" s="232" t="s">
        <v>171</v>
      </c>
      <c r="I1" s="233"/>
      <c r="J1" s="234"/>
      <c r="K1" s="235"/>
      <c r="L1" s="235"/>
      <c r="M1" s="235"/>
      <c r="N1" s="235"/>
      <c r="O1" s="235"/>
    </row>
    <row r="2" spans="5:15" ht="19.5">
      <c r="E2" s="231"/>
      <c r="F2" s="231"/>
      <c r="H2" s="8" t="s">
        <v>153</v>
      </c>
      <c r="I2" s="236"/>
      <c r="J2" s="234"/>
      <c r="K2" s="235"/>
      <c r="L2" s="235"/>
      <c r="M2" s="235"/>
      <c r="N2" s="235"/>
      <c r="O2" s="235"/>
    </row>
    <row r="3" spans="5:15" ht="19.5">
      <c r="E3" s="231"/>
      <c r="F3" s="231"/>
      <c r="H3" s="8" t="s">
        <v>250</v>
      </c>
      <c r="I3" s="236"/>
      <c r="J3" s="234"/>
      <c r="K3" s="235"/>
      <c r="L3" s="235"/>
      <c r="M3" s="235"/>
      <c r="N3" s="235"/>
      <c r="O3" s="235"/>
    </row>
    <row r="5" spans="1:10" ht="23.25" customHeight="1">
      <c r="A5" s="302" t="s">
        <v>251</v>
      </c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5.75" customHeight="1">
      <c r="A6" s="237"/>
      <c r="B6" s="237"/>
      <c r="C6" s="326"/>
      <c r="D6" s="326"/>
      <c r="E6" s="326"/>
      <c r="F6" s="326"/>
      <c r="G6" s="326"/>
      <c r="H6" s="238"/>
      <c r="J6" s="239" t="s">
        <v>174</v>
      </c>
    </row>
    <row r="7" spans="1:20" ht="48" customHeight="1">
      <c r="A7" s="299" t="s">
        <v>252</v>
      </c>
      <c r="B7" s="324" t="s">
        <v>3</v>
      </c>
      <c r="C7" s="325" t="s">
        <v>122</v>
      </c>
      <c r="D7" s="325"/>
      <c r="E7" s="325" t="s">
        <v>176</v>
      </c>
      <c r="F7" s="325"/>
      <c r="G7" s="325" t="s">
        <v>177</v>
      </c>
      <c r="H7" s="325"/>
      <c r="I7" s="325" t="s">
        <v>178</v>
      </c>
      <c r="J7" s="325"/>
      <c r="K7" s="299" t="s">
        <v>252</v>
      </c>
      <c r="L7" s="324" t="s">
        <v>3</v>
      </c>
      <c r="M7" s="325" t="s">
        <v>122</v>
      </c>
      <c r="N7" s="325"/>
      <c r="O7" s="325" t="s">
        <v>5</v>
      </c>
      <c r="P7" s="325"/>
      <c r="Q7" s="325" t="s">
        <v>156</v>
      </c>
      <c r="R7" s="325"/>
      <c r="S7" s="325" t="s">
        <v>253</v>
      </c>
      <c r="T7" s="325"/>
    </row>
    <row r="8" spans="1:20" ht="57.75" customHeight="1">
      <c r="A8" s="299"/>
      <c r="B8" s="324"/>
      <c r="C8" s="240" t="s">
        <v>83</v>
      </c>
      <c r="D8" s="240" t="s">
        <v>179</v>
      </c>
      <c r="E8" s="240" t="s">
        <v>83</v>
      </c>
      <c r="F8" s="240" t="s">
        <v>179</v>
      </c>
      <c r="G8" s="240" t="s">
        <v>83</v>
      </c>
      <c r="H8" s="240" t="s">
        <v>179</v>
      </c>
      <c r="I8" s="240" t="s">
        <v>83</v>
      </c>
      <c r="J8" s="240" t="s">
        <v>179</v>
      </c>
      <c r="K8" s="299"/>
      <c r="L8" s="324"/>
      <c r="M8" s="240" t="s">
        <v>83</v>
      </c>
      <c r="N8" s="240" t="s">
        <v>179</v>
      </c>
      <c r="O8" s="240" t="s">
        <v>83</v>
      </c>
      <c r="P8" s="240" t="s">
        <v>179</v>
      </c>
      <c r="Q8" s="240" t="s">
        <v>83</v>
      </c>
      <c r="R8" s="240" t="s">
        <v>179</v>
      </c>
      <c r="S8" s="240" t="s">
        <v>83</v>
      </c>
      <c r="T8" s="240" t="s">
        <v>179</v>
      </c>
    </row>
    <row r="9" spans="1:20" ht="13.5">
      <c r="A9" s="241">
        <v>1</v>
      </c>
      <c r="B9" s="242">
        <v>2</v>
      </c>
      <c r="C9" s="242">
        <v>3</v>
      </c>
      <c r="D9" s="243">
        <v>4</v>
      </c>
      <c r="E9" s="243">
        <v>5</v>
      </c>
      <c r="F9" s="243">
        <v>6</v>
      </c>
      <c r="G9" s="243">
        <v>7</v>
      </c>
      <c r="H9" s="243">
        <v>8</v>
      </c>
      <c r="I9" s="243">
        <v>9</v>
      </c>
      <c r="J9" s="244">
        <v>10</v>
      </c>
      <c r="K9" s="241">
        <v>1</v>
      </c>
      <c r="L9" s="242">
        <v>2</v>
      </c>
      <c r="M9" s="242">
        <v>3</v>
      </c>
      <c r="N9" s="243">
        <v>4</v>
      </c>
      <c r="O9" s="243">
        <v>5</v>
      </c>
      <c r="P9" s="243">
        <v>6</v>
      </c>
      <c r="Q9" s="243">
        <v>7</v>
      </c>
      <c r="R9" s="243">
        <v>8</v>
      </c>
      <c r="S9" s="243">
        <v>9</v>
      </c>
      <c r="T9" s="244">
        <v>10</v>
      </c>
    </row>
    <row r="10" spans="1:20" ht="33">
      <c r="A10" s="245">
        <v>1</v>
      </c>
      <c r="B10" s="246" t="s">
        <v>65</v>
      </c>
      <c r="C10" s="247" t="e">
        <f>E10+G10+I10</f>
        <v>#REF!</v>
      </c>
      <c r="D10" s="248"/>
      <c r="E10" s="247">
        <f>Додаток1!E46</f>
        <v>150928.68</v>
      </c>
      <c r="F10" s="55"/>
      <c r="G10" s="247">
        <f>Додаток1!G46</f>
        <v>150928.68</v>
      </c>
      <c r="H10" s="55"/>
      <c r="I10" s="247" t="e">
        <f>Додаток1!#REF!</f>
        <v>#REF!</v>
      </c>
      <c r="J10" s="249"/>
      <c r="K10" s="245"/>
      <c r="L10" s="246"/>
      <c r="M10" s="70">
        <v>61301.9</v>
      </c>
      <c r="N10" s="250"/>
      <c r="O10" s="70">
        <v>52178.1</v>
      </c>
      <c r="P10" s="17"/>
      <c r="Q10" s="70">
        <v>7235</v>
      </c>
      <c r="R10" s="17"/>
      <c r="S10" s="70">
        <v>1888.8</v>
      </c>
      <c r="T10" s="249"/>
    </row>
    <row r="11" spans="1:20" ht="32.25" customHeight="1">
      <c r="A11" s="245">
        <v>2</v>
      </c>
      <c r="B11" s="246" t="s">
        <v>180</v>
      </c>
      <c r="C11" s="251">
        <f>SUM(E11,G11,I11)</f>
        <v>185.72670000000002</v>
      </c>
      <c r="D11" s="63"/>
      <c r="E11" s="252">
        <v>142.88998</v>
      </c>
      <c r="F11" s="63"/>
      <c r="G11" s="252">
        <v>36.582639</v>
      </c>
      <c r="H11" s="63"/>
      <c r="I11" s="252">
        <v>6.254081</v>
      </c>
      <c r="J11" s="249"/>
      <c r="K11" s="245"/>
      <c r="L11" s="246"/>
      <c r="M11" s="253">
        <v>32.722918924593344</v>
      </c>
      <c r="N11" s="70"/>
      <c r="O11" s="253">
        <v>27.848518924593343</v>
      </c>
      <c r="P11" s="70"/>
      <c r="Q11" s="253">
        <v>3.7959280000000013</v>
      </c>
      <c r="R11" s="70"/>
      <c r="S11" s="253">
        <v>1.0784720000000003</v>
      </c>
      <c r="T11" s="249"/>
    </row>
    <row r="12" spans="1:20" ht="18.75" customHeight="1">
      <c r="A12" s="323" t="s">
        <v>181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</row>
    <row r="13" spans="1:23" s="257" customFormat="1" ht="33">
      <c r="A13" s="163">
        <v>3</v>
      </c>
      <c r="B13" s="254" t="s">
        <v>182</v>
      </c>
      <c r="C13" s="247">
        <f>C14+C18</f>
        <v>88644.66277600001</v>
      </c>
      <c r="D13" s="63"/>
      <c r="E13" s="247">
        <f>E14+E18</f>
        <v>44278.158012398184</v>
      </c>
      <c r="F13" s="63"/>
      <c r="G13" s="247">
        <f>G14+G18</f>
        <v>36690.70282735465</v>
      </c>
      <c r="H13" s="63"/>
      <c r="I13" s="247">
        <f>I14+I18</f>
        <v>7675.801936247172</v>
      </c>
      <c r="J13" s="63"/>
      <c r="K13" s="96"/>
      <c r="L13" s="255"/>
      <c r="M13" s="256">
        <f aca="true" t="shared" si="0" ref="M13:M29">ROUND(C13,2)</f>
        <v>88644.66</v>
      </c>
      <c r="N13" s="63"/>
      <c r="O13" s="256">
        <f aca="true" t="shared" si="1" ref="O13:O29">ROUND(E13,2)</f>
        <v>44278.16</v>
      </c>
      <c r="P13" s="63"/>
      <c r="Q13" s="256">
        <f aca="true" t="shared" si="2" ref="Q13:Q29">ROUND(G13,2)</f>
        <v>36690.7</v>
      </c>
      <c r="R13" s="63"/>
      <c r="S13" s="256">
        <f aca="true" t="shared" si="3" ref="S13:S29">ROUND(I13,2)</f>
        <v>7675.8</v>
      </c>
      <c r="T13" s="63"/>
      <c r="V13" s="258"/>
      <c r="W13" s="258"/>
    </row>
    <row r="14" spans="1:21" s="257" customFormat="1" ht="16.5">
      <c r="A14" s="163" t="s">
        <v>43</v>
      </c>
      <c r="B14" s="254" t="s">
        <v>254</v>
      </c>
      <c r="C14" s="247">
        <f>SUM(C15:C17)</f>
        <v>71757.95379</v>
      </c>
      <c r="D14" s="247" t="e">
        <f>ROUND(C14/C10*1000,2)</f>
        <v>#REF!</v>
      </c>
      <c r="E14" s="247">
        <f>SUM(E15:E17)</f>
        <v>32252.656793252594</v>
      </c>
      <c r="F14" s="247">
        <f>ROUND(E14/E10*1000,2)</f>
        <v>213.69</v>
      </c>
      <c r="G14" s="247">
        <f>SUM(G15:G17)</f>
        <v>32670.527392120468</v>
      </c>
      <c r="H14" s="247">
        <f>ROUND(G14/G10*1000,2)</f>
        <v>216.46</v>
      </c>
      <c r="I14" s="247">
        <f>SUM(I15:I17)</f>
        <v>6834.769604626937</v>
      </c>
      <c r="J14" s="247" t="e">
        <f>ROUND(I14/I10*1000,2)</f>
        <v>#REF!</v>
      </c>
      <c r="K14" s="118"/>
      <c r="L14" s="255"/>
      <c r="M14" s="259">
        <f t="shared" si="0"/>
        <v>71757.95</v>
      </c>
      <c r="N14" s="247" t="e">
        <f>ROUND(D14,2)</f>
        <v>#REF!</v>
      </c>
      <c r="O14" s="256">
        <f t="shared" si="1"/>
        <v>32252.66</v>
      </c>
      <c r="P14" s="247">
        <f>ROUND(F14,2)</f>
        <v>213.69</v>
      </c>
      <c r="Q14" s="256">
        <f t="shared" si="2"/>
        <v>32670.53</v>
      </c>
      <c r="R14" s="247">
        <f>ROUND(H14,2)</f>
        <v>216.46</v>
      </c>
      <c r="S14" s="256">
        <f t="shared" si="3"/>
        <v>6834.77</v>
      </c>
      <c r="T14" s="247" t="e">
        <f>ROUND(J14,2)</f>
        <v>#REF!</v>
      </c>
      <c r="U14" s="258"/>
    </row>
    <row r="15" spans="1:21" ht="32.25" customHeight="1">
      <c r="A15" s="20" t="s">
        <v>184</v>
      </c>
      <c r="B15" s="260" t="s">
        <v>185</v>
      </c>
      <c r="C15" s="261">
        <f aca="true" t="shared" si="4" ref="C15:C21">E15+G15+I15</f>
        <v>63225</v>
      </c>
      <c r="D15" s="261" t="e">
        <f>C15/$C$10*1000</f>
        <v>#REF!</v>
      </c>
      <c r="E15" s="261">
        <f>'Додаток2 скор'!H10</f>
        <v>26176.1</v>
      </c>
      <c r="F15" s="261">
        <f>E15/$E$10*1000</f>
        <v>173.43357140604422</v>
      </c>
      <c r="G15" s="261">
        <f>'Додаток2 скор'!M10</f>
        <v>30639.109</v>
      </c>
      <c r="H15" s="261">
        <f>G15/$G$10*1000</f>
        <v>203.003888989157</v>
      </c>
      <c r="I15" s="261">
        <f>'Додаток2 скор'!R10</f>
        <v>6409.791</v>
      </c>
      <c r="J15" s="261" t="e">
        <f>I15/$I$10*1000</f>
        <v>#REF!</v>
      </c>
      <c r="K15" s="97"/>
      <c r="L15" s="246"/>
      <c r="M15" s="262">
        <f t="shared" si="0"/>
        <v>63225</v>
      </c>
      <c r="N15" s="261" t="e">
        <f>ROUND(D15,2)</f>
        <v>#REF!</v>
      </c>
      <c r="O15" s="262">
        <f t="shared" si="1"/>
        <v>26176.1</v>
      </c>
      <c r="P15" s="261">
        <f>ROUND(F15,2)</f>
        <v>173.43</v>
      </c>
      <c r="Q15" s="262">
        <f t="shared" si="2"/>
        <v>30639.11</v>
      </c>
      <c r="R15" s="261">
        <f>ROUND(H15,2)</f>
        <v>203</v>
      </c>
      <c r="S15" s="262">
        <f t="shared" si="3"/>
        <v>6409.79</v>
      </c>
      <c r="T15" s="261" t="e">
        <f>ROUND(J15,2)</f>
        <v>#REF!</v>
      </c>
      <c r="U15" s="258"/>
    </row>
    <row r="16" spans="1:21" ht="33">
      <c r="A16" s="20" t="s">
        <v>186</v>
      </c>
      <c r="B16" s="260" t="s">
        <v>187</v>
      </c>
      <c r="C16" s="261">
        <f t="shared" si="4"/>
        <v>8532.95379</v>
      </c>
      <c r="D16" s="261" t="e">
        <f>C16/$C$10*1000</f>
        <v>#REF!</v>
      </c>
      <c r="E16" s="261">
        <f>'Додаток2 скор'!H13</f>
        <v>6076.556793252597</v>
      </c>
      <c r="F16" s="261">
        <f>E16/$E$10*1000</f>
        <v>40.26111401260911</v>
      </c>
      <c r="G16" s="261">
        <f>'Додаток2 скор'!M13</f>
        <v>2031.4183921204665</v>
      </c>
      <c r="H16" s="261">
        <f>G16/$G$10*1000</f>
        <v>13.459459077760878</v>
      </c>
      <c r="I16" s="261">
        <f>'Додаток2 скор'!R13</f>
        <v>424.97860462693626</v>
      </c>
      <c r="J16" s="261" t="e">
        <f>I16/$I$10*1000</f>
        <v>#REF!</v>
      </c>
      <c r="K16" s="97"/>
      <c r="L16" s="246"/>
      <c r="M16" s="262">
        <f t="shared" si="0"/>
        <v>8532.95</v>
      </c>
      <c r="N16" s="261" t="e">
        <f>ROUND(D16,2)</f>
        <v>#REF!</v>
      </c>
      <c r="O16" s="262">
        <f t="shared" si="1"/>
        <v>6076.56</v>
      </c>
      <c r="P16" s="261">
        <f>ROUND(F16,2)</f>
        <v>40.26</v>
      </c>
      <c r="Q16" s="262">
        <f t="shared" si="2"/>
        <v>2031.42</v>
      </c>
      <c r="R16" s="261">
        <f>ROUND(H16,2)</f>
        <v>13.46</v>
      </c>
      <c r="S16" s="262">
        <f t="shared" si="3"/>
        <v>424.98</v>
      </c>
      <c r="T16" s="261" t="e">
        <f>ROUND(J16,2)</f>
        <v>#REF!</v>
      </c>
      <c r="U16" s="258"/>
    </row>
    <row r="17" spans="1:21" ht="51.75" customHeight="1">
      <c r="A17" s="20" t="s">
        <v>188</v>
      </c>
      <c r="B17" s="260" t="s">
        <v>255</v>
      </c>
      <c r="C17" s="261">
        <f t="shared" si="4"/>
        <v>0</v>
      </c>
      <c r="D17" s="261" t="e">
        <f>C17/$C$10*1000</f>
        <v>#REF!</v>
      </c>
      <c r="E17" s="261">
        <f>'Додаток2 скор'!H14</f>
        <v>0</v>
      </c>
      <c r="F17" s="261">
        <f>E17/$E$10*1000</f>
        <v>0</v>
      </c>
      <c r="G17" s="261">
        <f>'Додаток2 скор'!M14</f>
        <v>0</v>
      </c>
      <c r="H17" s="261">
        <f>G17/$G$10*1000</f>
        <v>0</v>
      </c>
      <c r="I17" s="261">
        <f>'Додаток2 скор'!R14</f>
        <v>0</v>
      </c>
      <c r="J17" s="261" t="e">
        <f>I17/$I$10*1000</f>
        <v>#REF!</v>
      </c>
      <c r="K17" s="97"/>
      <c r="L17" s="246"/>
      <c r="M17" s="262">
        <f t="shared" si="0"/>
        <v>0</v>
      </c>
      <c r="N17" s="261" t="e">
        <f>ROUND(D17,2)</f>
        <v>#REF!</v>
      </c>
      <c r="O17" s="262">
        <f t="shared" si="1"/>
        <v>0</v>
      </c>
      <c r="P17" s="261">
        <f>ROUND(F17,2)</f>
        <v>0</v>
      </c>
      <c r="Q17" s="262">
        <f t="shared" si="2"/>
        <v>0</v>
      </c>
      <c r="R17" s="261">
        <f>ROUND(H17,2)</f>
        <v>0</v>
      </c>
      <c r="S17" s="262">
        <f t="shared" si="3"/>
        <v>0</v>
      </c>
      <c r="T17" s="261" t="e">
        <f>ROUND(J17,2)</f>
        <v>#REF!</v>
      </c>
      <c r="U17" s="258"/>
    </row>
    <row r="18" spans="1:21" s="257" customFormat="1" ht="51.75" customHeight="1">
      <c r="A18" s="163" t="s">
        <v>45</v>
      </c>
      <c r="B18" s="254" t="s">
        <v>256</v>
      </c>
      <c r="C18" s="247">
        <f t="shared" si="4"/>
        <v>16886.708986000012</v>
      </c>
      <c r="D18" s="247">
        <f>ROUND(C18/C11/12*1000,2)</f>
        <v>7576.86</v>
      </c>
      <c r="E18" s="247">
        <f>'Додаток2 скор'!H48-'Додаток 5'!E14</f>
        <v>12025.50121914559</v>
      </c>
      <c r="F18" s="247">
        <f>ROUND(E18/E11/12*1000,2)</f>
        <v>7013.26</v>
      </c>
      <c r="G18" s="247">
        <f>'Додаток2 скор'!M41-'Додаток 5'!G14</f>
        <v>4020.175435234185</v>
      </c>
      <c r="H18" s="247">
        <f>ROUND(G18/G11/12*1000,2)</f>
        <v>9157.75</v>
      </c>
      <c r="I18" s="247">
        <f>'Додаток2 скор'!R41-'Додаток 5'!I14</f>
        <v>841.0323316202357</v>
      </c>
      <c r="J18" s="247">
        <f>ROUND(I18/I11/12*1000,2)</f>
        <v>11206.45</v>
      </c>
      <c r="K18" s="118"/>
      <c r="L18" s="255"/>
      <c r="M18" s="256">
        <f t="shared" si="0"/>
        <v>16886.71</v>
      </c>
      <c r="N18" s="247">
        <f>ROUND(D18,2)</f>
        <v>7576.86</v>
      </c>
      <c r="O18" s="256">
        <f t="shared" si="1"/>
        <v>12025.5</v>
      </c>
      <c r="P18" s="247">
        <f>ROUND(F18,2)</f>
        <v>7013.26</v>
      </c>
      <c r="Q18" s="256">
        <f t="shared" si="2"/>
        <v>4020.18</v>
      </c>
      <c r="R18" s="247">
        <f>ROUND(H18,2)</f>
        <v>9157.75</v>
      </c>
      <c r="S18" s="256">
        <f t="shared" si="3"/>
        <v>841.03</v>
      </c>
      <c r="T18" s="247">
        <f>ROUND(J18,2)</f>
        <v>11206.45</v>
      </c>
      <c r="U18" s="258"/>
    </row>
    <row r="19" spans="1:20" s="257" customFormat="1" ht="34.5" customHeight="1">
      <c r="A19" s="163">
        <v>4</v>
      </c>
      <c r="B19" s="254" t="s">
        <v>193</v>
      </c>
      <c r="C19" s="247">
        <f t="shared" si="4"/>
        <v>6713.228999999999</v>
      </c>
      <c r="D19" s="63"/>
      <c r="E19" s="247">
        <f>E20+E21</f>
        <v>0</v>
      </c>
      <c r="F19" s="63"/>
      <c r="G19" s="247">
        <f>G20+G21</f>
        <v>5733.11</v>
      </c>
      <c r="H19" s="63"/>
      <c r="I19" s="247">
        <f>I20+I21</f>
        <v>980.1189999999999</v>
      </c>
      <c r="J19" s="63"/>
      <c r="K19" s="96"/>
      <c r="L19" s="255"/>
      <c r="M19" s="256">
        <f t="shared" si="0"/>
        <v>6713.23</v>
      </c>
      <c r="N19" s="63"/>
      <c r="O19" s="256">
        <f t="shared" si="1"/>
        <v>0</v>
      </c>
      <c r="P19" s="63"/>
      <c r="Q19" s="256">
        <f t="shared" si="2"/>
        <v>5733.11</v>
      </c>
      <c r="R19" s="63"/>
      <c r="S19" s="256">
        <f t="shared" si="3"/>
        <v>980.12</v>
      </c>
      <c r="T19" s="63"/>
    </row>
    <row r="20" spans="1:20" ht="16.5">
      <c r="A20" s="20" t="s">
        <v>194</v>
      </c>
      <c r="B20" s="260" t="s">
        <v>195</v>
      </c>
      <c r="C20" s="261">
        <f t="shared" si="4"/>
        <v>5979.835</v>
      </c>
      <c r="D20" s="261" t="e">
        <f>ROUND(C20/C10*1000,2)</f>
        <v>#REF!</v>
      </c>
      <c r="E20" s="70">
        <v>0</v>
      </c>
      <c r="F20" s="261">
        <f>ROUND(E20/E10*1000,2)</f>
        <v>0</v>
      </c>
      <c r="G20" s="70">
        <v>5106.79</v>
      </c>
      <c r="H20" s="261">
        <f>ROUND(G20/G10*1000,2)</f>
        <v>33.84</v>
      </c>
      <c r="I20" s="70">
        <v>873.045</v>
      </c>
      <c r="J20" s="261" t="e">
        <f>ROUND(I20/I10*1000,2)</f>
        <v>#REF!</v>
      </c>
      <c r="K20" s="97"/>
      <c r="L20" s="246"/>
      <c r="M20" s="262">
        <f t="shared" si="0"/>
        <v>5979.84</v>
      </c>
      <c r="N20" s="261" t="e">
        <f aca="true" t="shared" si="5" ref="N20:N29">ROUND(D20,2)</f>
        <v>#REF!</v>
      </c>
      <c r="O20" s="262">
        <f t="shared" si="1"/>
        <v>0</v>
      </c>
      <c r="P20" s="261">
        <f aca="true" t="shared" si="6" ref="P20:P29">ROUND(F20,2)</f>
        <v>0</v>
      </c>
      <c r="Q20" s="262">
        <f t="shared" si="2"/>
        <v>5106.79</v>
      </c>
      <c r="R20" s="261">
        <f aca="true" t="shared" si="7" ref="R20:R29">ROUND(H20,2)</f>
        <v>33.84</v>
      </c>
      <c r="S20" s="262">
        <f t="shared" si="3"/>
        <v>873.05</v>
      </c>
      <c r="T20" s="261" t="e">
        <f aca="true" t="shared" si="8" ref="T20:T29">ROUND(J20,2)</f>
        <v>#REF!</v>
      </c>
    </row>
    <row r="21" spans="1:20" ht="16.5">
      <c r="A21" s="20" t="s">
        <v>196</v>
      </c>
      <c r="B21" s="260" t="s">
        <v>197</v>
      </c>
      <c r="C21" s="261">
        <f t="shared" si="4"/>
        <v>733.394</v>
      </c>
      <c r="D21" s="261">
        <f>ROUND(C21/12/C11*1000,2)</f>
        <v>329.07</v>
      </c>
      <c r="E21" s="70">
        <v>0</v>
      </c>
      <c r="F21" s="261">
        <f>ROUND(E21/12/E11*1000,2)</f>
        <v>0</v>
      </c>
      <c r="G21" s="70">
        <v>626.32</v>
      </c>
      <c r="H21" s="261">
        <f>ROUND(G21/12/G11*1000,2)</f>
        <v>1426.72</v>
      </c>
      <c r="I21" s="70">
        <v>107.074</v>
      </c>
      <c r="J21" s="261">
        <f>ROUND(I21/12/I11*1000,2)</f>
        <v>1426.72</v>
      </c>
      <c r="K21" s="97"/>
      <c r="L21" s="246"/>
      <c r="M21" s="262">
        <f t="shared" si="0"/>
        <v>733.39</v>
      </c>
      <c r="N21" s="261">
        <f t="shared" si="5"/>
        <v>329.07</v>
      </c>
      <c r="O21" s="262">
        <f t="shared" si="1"/>
        <v>0</v>
      </c>
      <c r="P21" s="261">
        <f t="shared" si="6"/>
        <v>0</v>
      </c>
      <c r="Q21" s="262">
        <f t="shared" si="2"/>
        <v>626.32</v>
      </c>
      <c r="R21" s="261">
        <f t="shared" si="7"/>
        <v>1426.72</v>
      </c>
      <c r="S21" s="262">
        <f t="shared" si="3"/>
        <v>107.07</v>
      </c>
      <c r="T21" s="261">
        <f t="shared" si="8"/>
        <v>1426.72</v>
      </c>
    </row>
    <row r="22" spans="1:21" s="257" customFormat="1" ht="33.75" customHeight="1">
      <c r="A22" s="163">
        <v>5</v>
      </c>
      <c r="B22" s="254" t="s">
        <v>198</v>
      </c>
      <c r="C22" s="63"/>
      <c r="D22" s="247" t="e">
        <f>D23+D24</f>
        <v>#REF!</v>
      </c>
      <c r="E22" s="63"/>
      <c r="F22" s="247">
        <f>F23+F24</f>
        <v>213.69</v>
      </c>
      <c r="G22" s="63"/>
      <c r="H22" s="247">
        <f>H23+H24</f>
        <v>250.3</v>
      </c>
      <c r="I22" s="63"/>
      <c r="J22" s="247" t="e">
        <f>J23+J24</f>
        <v>#REF!</v>
      </c>
      <c r="K22" s="96"/>
      <c r="L22" s="255"/>
      <c r="M22" s="247">
        <f t="shared" si="0"/>
        <v>0</v>
      </c>
      <c r="N22" s="247" t="e">
        <f t="shared" si="5"/>
        <v>#REF!</v>
      </c>
      <c r="O22" s="247">
        <f t="shared" si="1"/>
        <v>0</v>
      </c>
      <c r="P22" s="247">
        <f t="shared" si="6"/>
        <v>213.69</v>
      </c>
      <c r="Q22" s="247">
        <f t="shared" si="2"/>
        <v>0</v>
      </c>
      <c r="R22" s="247">
        <f t="shared" si="7"/>
        <v>250.3</v>
      </c>
      <c r="S22" s="247">
        <f t="shared" si="3"/>
        <v>0</v>
      </c>
      <c r="T22" s="247" t="e">
        <f t="shared" si="8"/>
        <v>#REF!</v>
      </c>
      <c r="U22" s="258"/>
    </row>
    <row r="23" spans="1:21" ht="16.5">
      <c r="A23" s="20" t="s">
        <v>199</v>
      </c>
      <c r="B23" s="260" t="s">
        <v>200</v>
      </c>
      <c r="C23" s="70"/>
      <c r="D23" s="261" t="e">
        <f>D14</f>
        <v>#REF!</v>
      </c>
      <c r="E23" s="70"/>
      <c r="F23" s="261">
        <f>F14</f>
        <v>213.69</v>
      </c>
      <c r="G23" s="70"/>
      <c r="H23" s="261">
        <f>H14</f>
        <v>216.46</v>
      </c>
      <c r="I23" s="70"/>
      <c r="J23" s="261" t="e">
        <f>J14</f>
        <v>#REF!</v>
      </c>
      <c r="K23" s="97"/>
      <c r="L23" s="246"/>
      <c r="M23" s="261">
        <f t="shared" si="0"/>
        <v>0</v>
      </c>
      <c r="N23" s="261" t="e">
        <f t="shared" si="5"/>
        <v>#REF!</v>
      </c>
      <c r="O23" s="261">
        <f t="shared" si="1"/>
        <v>0</v>
      </c>
      <c r="P23" s="261">
        <f t="shared" si="6"/>
        <v>213.69</v>
      </c>
      <c r="Q23" s="261">
        <f t="shared" si="2"/>
        <v>0</v>
      </c>
      <c r="R23" s="261">
        <f t="shared" si="7"/>
        <v>216.46</v>
      </c>
      <c r="S23" s="261">
        <f t="shared" si="3"/>
        <v>0</v>
      </c>
      <c r="T23" s="261" t="e">
        <f t="shared" si="8"/>
        <v>#REF!</v>
      </c>
      <c r="U23" s="258"/>
    </row>
    <row r="24" spans="1:21" ht="16.5">
      <c r="A24" s="20" t="s">
        <v>201</v>
      </c>
      <c r="B24" s="260" t="s">
        <v>202</v>
      </c>
      <c r="C24" s="70"/>
      <c r="D24" s="261" t="e">
        <f>D20</f>
        <v>#REF!</v>
      </c>
      <c r="E24" s="70"/>
      <c r="F24" s="261">
        <f>F20</f>
        <v>0</v>
      </c>
      <c r="G24" s="70"/>
      <c r="H24" s="261">
        <f>H20</f>
        <v>33.84</v>
      </c>
      <c r="I24" s="70"/>
      <c r="J24" s="261" t="e">
        <f>J20</f>
        <v>#REF!</v>
      </c>
      <c r="K24" s="97"/>
      <c r="L24" s="246"/>
      <c r="M24" s="261">
        <f t="shared" si="0"/>
        <v>0</v>
      </c>
      <c r="N24" s="261" t="e">
        <f t="shared" si="5"/>
        <v>#REF!</v>
      </c>
      <c r="O24" s="261">
        <f t="shared" si="1"/>
        <v>0</v>
      </c>
      <c r="P24" s="261">
        <f t="shared" si="6"/>
        <v>0</v>
      </c>
      <c r="Q24" s="261">
        <f t="shared" si="2"/>
        <v>0</v>
      </c>
      <c r="R24" s="261">
        <f t="shared" si="7"/>
        <v>33.84</v>
      </c>
      <c r="S24" s="261">
        <f t="shared" si="3"/>
        <v>0</v>
      </c>
      <c r="T24" s="261" t="e">
        <f t="shared" si="8"/>
        <v>#REF!</v>
      </c>
      <c r="U24" s="258"/>
    </row>
    <row r="25" spans="1:21" ht="16.5" customHeight="1" hidden="1">
      <c r="A25" s="20" t="s">
        <v>203</v>
      </c>
      <c r="B25" s="260" t="s">
        <v>204</v>
      </c>
      <c r="C25" s="263">
        <f>E25+G25+I25</f>
        <v>12.62</v>
      </c>
      <c r="D25" s="264">
        <v>0</v>
      </c>
      <c r="E25" s="264">
        <v>0</v>
      </c>
      <c r="F25" s="264">
        <v>0</v>
      </c>
      <c r="G25" s="264">
        <v>2.94</v>
      </c>
      <c r="H25" s="264">
        <v>0</v>
      </c>
      <c r="I25" s="264">
        <v>9.68</v>
      </c>
      <c r="J25" s="264">
        <v>0</v>
      </c>
      <c r="K25" s="97"/>
      <c r="L25" s="246"/>
      <c r="M25" s="263">
        <f t="shared" si="0"/>
        <v>12.62</v>
      </c>
      <c r="N25" s="263">
        <f t="shared" si="5"/>
        <v>0</v>
      </c>
      <c r="O25" s="263">
        <f t="shared" si="1"/>
        <v>0</v>
      </c>
      <c r="P25" s="263">
        <f t="shared" si="6"/>
        <v>0</v>
      </c>
      <c r="Q25" s="263">
        <f t="shared" si="2"/>
        <v>2.94</v>
      </c>
      <c r="R25" s="263">
        <f t="shared" si="7"/>
        <v>0</v>
      </c>
      <c r="S25" s="263">
        <f t="shared" si="3"/>
        <v>9.68</v>
      </c>
      <c r="T25" s="263">
        <f t="shared" si="8"/>
        <v>0</v>
      </c>
      <c r="U25" s="258"/>
    </row>
    <row r="26" spans="1:21" s="257" customFormat="1" ht="61.5" customHeight="1">
      <c r="A26" s="163">
        <v>6</v>
      </c>
      <c r="B26" s="265" t="s">
        <v>205</v>
      </c>
      <c r="C26" s="266"/>
      <c r="D26" s="267">
        <f>D27+D28</f>
        <v>7905.929999999999</v>
      </c>
      <c r="E26" s="266"/>
      <c r="F26" s="267">
        <f>F27+F28</f>
        <v>7013.26</v>
      </c>
      <c r="G26" s="266"/>
      <c r="H26" s="267">
        <f>H27+H28</f>
        <v>10584.47</v>
      </c>
      <c r="I26" s="266"/>
      <c r="J26" s="267">
        <f>J27+J28</f>
        <v>12633.17</v>
      </c>
      <c r="K26" s="96"/>
      <c r="L26" s="268"/>
      <c r="M26" s="267">
        <f t="shared" si="0"/>
        <v>0</v>
      </c>
      <c r="N26" s="267">
        <f t="shared" si="5"/>
        <v>7905.93</v>
      </c>
      <c r="O26" s="267">
        <f t="shared" si="1"/>
        <v>0</v>
      </c>
      <c r="P26" s="267">
        <f t="shared" si="6"/>
        <v>7013.26</v>
      </c>
      <c r="Q26" s="267">
        <f t="shared" si="2"/>
        <v>0</v>
      </c>
      <c r="R26" s="267">
        <f t="shared" si="7"/>
        <v>10584.47</v>
      </c>
      <c r="S26" s="267">
        <f t="shared" si="3"/>
        <v>0</v>
      </c>
      <c r="T26" s="267">
        <f t="shared" si="8"/>
        <v>12633.17</v>
      </c>
      <c r="U26" s="258"/>
    </row>
    <row r="27" spans="1:20" ht="15" customHeight="1">
      <c r="A27" s="20" t="s">
        <v>206</v>
      </c>
      <c r="B27" s="260" t="s">
        <v>207</v>
      </c>
      <c r="C27" s="269"/>
      <c r="D27" s="270">
        <f>D18</f>
        <v>7576.86</v>
      </c>
      <c r="E27" s="269"/>
      <c r="F27" s="270">
        <f>F18</f>
        <v>7013.26</v>
      </c>
      <c r="G27" s="269"/>
      <c r="H27" s="270">
        <f>H18</f>
        <v>9157.75</v>
      </c>
      <c r="I27" s="269"/>
      <c r="J27" s="270">
        <f>J18</f>
        <v>11206.45</v>
      </c>
      <c r="K27" s="97"/>
      <c r="L27" s="246"/>
      <c r="M27" s="270">
        <f t="shared" si="0"/>
        <v>0</v>
      </c>
      <c r="N27" s="270">
        <f t="shared" si="5"/>
        <v>7576.86</v>
      </c>
      <c r="O27" s="270">
        <f t="shared" si="1"/>
        <v>0</v>
      </c>
      <c r="P27" s="270">
        <f t="shared" si="6"/>
        <v>7013.26</v>
      </c>
      <c r="Q27" s="270">
        <f t="shared" si="2"/>
        <v>0</v>
      </c>
      <c r="R27" s="270">
        <f t="shared" si="7"/>
        <v>9157.75</v>
      </c>
      <c r="S27" s="270">
        <f t="shared" si="3"/>
        <v>0</v>
      </c>
      <c r="T27" s="270">
        <f t="shared" si="8"/>
        <v>11206.45</v>
      </c>
    </row>
    <row r="28" spans="1:20" ht="16.5" customHeight="1">
      <c r="A28" s="20" t="s">
        <v>208</v>
      </c>
      <c r="B28" s="260" t="s">
        <v>202</v>
      </c>
      <c r="C28" s="269"/>
      <c r="D28" s="270">
        <f>D21</f>
        <v>329.07</v>
      </c>
      <c r="E28" s="269"/>
      <c r="F28" s="270">
        <f>F21</f>
        <v>0</v>
      </c>
      <c r="G28" s="269"/>
      <c r="H28" s="270">
        <f>H21</f>
        <v>1426.72</v>
      </c>
      <c r="I28" s="269"/>
      <c r="J28" s="270">
        <f>J21</f>
        <v>1426.72</v>
      </c>
      <c r="K28" s="97"/>
      <c r="L28" s="246"/>
      <c r="M28" s="270">
        <f t="shared" si="0"/>
        <v>0</v>
      </c>
      <c r="N28" s="270">
        <f t="shared" si="5"/>
        <v>329.07</v>
      </c>
      <c r="O28" s="270">
        <f t="shared" si="1"/>
        <v>0</v>
      </c>
      <c r="P28" s="270">
        <f t="shared" si="6"/>
        <v>0</v>
      </c>
      <c r="Q28" s="270">
        <f t="shared" si="2"/>
        <v>0</v>
      </c>
      <c r="R28" s="270">
        <f t="shared" si="7"/>
        <v>1426.72</v>
      </c>
      <c r="S28" s="270">
        <f t="shared" si="3"/>
        <v>0</v>
      </c>
      <c r="T28" s="270">
        <f t="shared" si="8"/>
        <v>1426.72</v>
      </c>
    </row>
    <row r="29" spans="1:20" ht="13.5" customHeight="1" hidden="1">
      <c r="A29" s="271" t="s">
        <v>209</v>
      </c>
      <c r="B29" s="272" t="s">
        <v>204</v>
      </c>
      <c r="C29" s="273">
        <v>2.8772614173753674</v>
      </c>
      <c r="D29" s="274"/>
      <c r="E29" s="274">
        <v>0</v>
      </c>
      <c r="F29" s="275">
        <f>E29/$E$10*1000</f>
        <v>0</v>
      </c>
      <c r="G29" s="274">
        <v>15</v>
      </c>
      <c r="H29" s="274"/>
      <c r="I29" s="274">
        <v>23.5</v>
      </c>
      <c r="J29" s="276"/>
      <c r="K29" s="126"/>
      <c r="L29" s="127"/>
      <c r="M29" s="277">
        <f t="shared" si="0"/>
        <v>2.88</v>
      </c>
      <c r="N29" s="277">
        <f t="shared" si="5"/>
        <v>0</v>
      </c>
      <c r="O29" s="277">
        <f t="shared" si="1"/>
        <v>0</v>
      </c>
      <c r="P29" s="275">
        <f t="shared" si="6"/>
        <v>0</v>
      </c>
      <c r="Q29" s="277">
        <f t="shared" si="2"/>
        <v>15</v>
      </c>
      <c r="R29" s="277">
        <f t="shared" si="7"/>
        <v>0</v>
      </c>
      <c r="S29" s="277">
        <f t="shared" si="3"/>
        <v>23.5</v>
      </c>
      <c r="T29" s="278">
        <f t="shared" si="8"/>
        <v>0</v>
      </c>
    </row>
    <row r="30" spans="1:20" ht="18.75" customHeight="1">
      <c r="A30" s="322" t="s">
        <v>210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3"/>
      <c r="L30" s="323"/>
      <c r="M30" s="323"/>
      <c r="N30" s="323"/>
      <c r="O30" s="323"/>
      <c r="P30" s="323"/>
      <c r="Q30" s="323"/>
      <c r="R30" s="323"/>
      <c r="S30" s="323"/>
      <c r="T30" s="323"/>
    </row>
    <row r="31" spans="1:20" ht="40.5" customHeight="1" hidden="1">
      <c r="A31" s="271">
        <v>7</v>
      </c>
      <c r="B31" s="272" t="s">
        <v>257</v>
      </c>
      <c r="C31" s="271">
        <v>374.145</v>
      </c>
      <c r="D31" s="279"/>
      <c r="E31" s="279">
        <v>312.897</v>
      </c>
      <c r="F31" s="279"/>
      <c r="G31" s="279">
        <v>42.653</v>
      </c>
      <c r="H31" s="279"/>
      <c r="I31" s="279">
        <v>18.595</v>
      </c>
      <c r="J31" s="280"/>
      <c r="K31" s="69"/>
      <c r="L31" s="127"/>
      <c r="M31" s="275">
        <f aca="true" t="shared" si="9" ref="M31:T37">ROUND(C31,2)</f>
        <v>374.15</v>
      </c>
      <c r="N31" s="275">
        <f t="shared" si="9"/>
        <v>0</v>
      </c>
      <c r="O31" s="275">
        <f t="shared" si="9"/>
        <v>312.9</v>
      </c>
      <c r="P31" s="275">
        <f t="shared" si="9"/>
        <v>0</v>
      </c>
      <c r="Q31" s="275">
        <f t="shared" si="9"/>
        <v>42.65</v>
      </c>
      <c r="R31" s="275">
        <f t="shared" si="9"/>
        <v>0</v>
      </c>
      <c r="S31" s="275">
        <f t="shared" si="9"/>
        <v>18.6</v>
      </c>
      <c r="T31" s="281">
        <f t="shared" si="9"/>
        <v>0</v>
      </c>
    </row>
    <row r="32" spans="1:21" s="257" customFormat="1" ht="48" customHeight="1">
      <c r="A32" s="163">
        <v>7</v>
      </c>
      <c r="B32" s="254" t="s">
        <v>258</v>
      </c>
      <c r="C32" s="247" t="e">
        <f>E32+G32+I32</f>
        <v>#REF!</v>
      </c>
      <c r="D32" s="247" t="e">
        <f>ROUND(C32/12/C11*1000,2)</f>
        <v>#REF!</v>
      </c>
      <c r="E32" s="247">
        <f>Додаток3!E37/Додаток3!E47*Додаток3!E49</f>
        <v>7332.466135393245</v>
      </c>
      <c r="F32" s="247">
        <f>ROUND(E32/E11/12*1000,2)</f>
        <v>4276.29</v>
      </c>
      <c r="G32" s="247">
        <f>Додаток3!G37/Додаток3!G47*Додаток3!G49</f>
        <v>9016.97</v>
      </c>
      <c r="H32" s="247">
        <f>ROUND(G32/G11/12*1000,2)</f>
        <v>20540.18</v>
      </c>
      <c r="I32" s="247" t="e">
        <f>Додаток3!#REF!/Додаток3!#REF!*Додаток3!#REF!</f>
        <v>#REF!</v>
      </c>
      <c r="J32" s="247" t="e">
        <f>ROUND(I32/I11/12*1000,2)</f>
        <v>#REF!</v>
      </c>
      <c r="K32" s="96"/>
      <c r="L32" s="255"/>
      <c r="M32" s="256" t="e">
        <f t="shared" si="9"/>
        <v>#REF!</v>
      </c>
      <c r="N32" s="247" t="e">
        <f t="shared" si="9"/>
        <v>#REF!</v>
      </c>
      <c r="O32" s="256">
        <f t="shared" si="9"/>
        <v>7332.47</v>
      </c>
      <c r="P32" s="247">
        <f t="shared" si="9"/>
        <v>4276.29</v>
      </c>
      <c r="Q32" s="256">
        <f t="shared" si="9"/>
        <v>9016.97</v>
      </c>
      <c r="R32" s="247">
        <f t="shared" si="9"/>
        <v>20540.18</v>
      </c>
      <c r="S32" s="256" t="e">
        <f t="shared" si="9"/>
        <v>#REF!</v>
      </c>
      <c r="T32" s="247" t="e">
        <f t="shared" si="9"/>
        <v>#REF!</v>
      </c>
      <c r="U32" s="258"/>
    </row>
    <row r="33" spans="1:20" ht="36" customHeight="1">
      <c r="A33" s="20">
        <v>8</v>
      </c>
      <c r="B33" s="260" t="s">
        <v>212</v>
      </c>
      <c r="C33" s="261" t="e">
        <f>E33+G33+I33</f>
        <v>#REF!</v>
      </c>
      <c r="D33" s="261" t="e">
        <f>ROUND(C33/C11/12*1000,2)</f>
        <v>#REF!</v>
      </c>
      <c r="E33" s="261">
        <f>Додаток4!E34</f>
        <v>0</v>
      </c>
      <c r="F33" s="261">
        <f>ROUND(E33/12/E11*1000,2)</f>
        <v>0</v>
      </c>
      <c r="G33" s="261">
        <f>Додаток4!G34</f>
        <v>0</v>
      </c>
      <c r="H33" s="261">
        <f>ROUND(G33/12/G11*1000,2)</f>
        <v>0</v>
      </c>
      <c r="I33" s="261" t="e">
        <f>Додаток4!#REF!</f>
        <v>#REF!</v>
      </c>
      <c r="J33" s="261" t="e">
        <f>ROUND(I33/12/I11*1000,2)</f>
        <v>#REF!</v>
      </c>
      <c r="K33" s="245"/>
      <c r="L33" s="246"/>
      <c r="M33" s="261" t="e">
        <f t="shared" si="9"/>
        <v>#REF!</v>
      </c>
      <c r="N33" s="261" t="e">
        <f t="shared" si="9"/>
        <v>#REF!</v>
      </c>
      <c r="O33" s="261">
        <f t="shared" si="9"/>
        <v>0</v>
      </c>
      <c r="P33" s="261">
        <f t="shared" si="9"/>
        <v>0</v>
      </c>
      <c r="Q33" s="261">
        <f t="shared" si="9"/>
        <v>0</v>
      </c>
      <c r="R33" s="261">
        <f t="shared" si="9"/>
        <v>0</v>
      </c>
      <c r="S33" s="261" t="e">
        <f t="shared" si="9"/>
        <v>#REF!</v>
      </c>
      <c r="T33" s="261" t="e">
        <f t="shared" si="9"/>
        <v>#REF!</v>
      </c>
    </row>
    <row r="34" spans="1:20" s="257" customFormat="1" ht="53.25" customHeight="1">
      <c r="A34" s="163">
        <v>9</v>
      </c>
      <c r="B34" s="254" t="s">
        <v>213</v>
      </c>
      <c r="C34" s="266"/>
      <c r="D34" s="267" t="e">
        <f>D35+D36</f>
        <v>#REF!</v>
      </c>
      <c r="E34" s="266"/>
      <c r="F34" s="267">
        <f>F35+F36</f>
        <v>4276.29</v>
      </c>
      <c r="G34" s="266"/>
      <c r="H34" s="267">
        <f>H35+H36</f>
        <v>20540.18</v>
      </c>
      <c r="I34" s="266"/>
      <c r="J34" s="267" t="e">
        <f>J35+J36-0.01</f>
        <v>#REF!</v>
      </c>
      <c r="K34" s="96"/>
      <c r="L34" s="255"/>
      <c r="M34" s="267">
        <f t="shared" si="9"/>
        <v>0</v>
      </c>
      <c r="N34" s="267" t="e">
        <f t="shared" si="9"/>
        <v>#REF!</v>
      </c>
      <c r="O34" s="267">
        <f t="shared" si="9"/>
        <v>0</v>
      </c>
      <c r="P34" s="267">
        <f t="shared" si="9"/>
        <v>4276.29</v>
      </c>
      <c r="Q34" s="267">
        <f t="shared" si="9"/>
        <v>0</v>
      </c>
      <c r="R34" s="267">
        <f t="shared" si="9"/>
        <v>20540.18</v>
      </c>
      <c r="S34" s="267">
        <f t="shared" si="9"/>
        <v>0</v>
      </c>
      <c r="T34" s="267" t="e">
        <f t="shared" si="9"/>
        <v>#REF!</v>
      </c>
    </row>
    <row r="35" spans="1:20" ht="15" customHeight="1">
      <c r="A35" s="20" t="s">
        <v>214</v>
      </c>
      <c r="B35" s="260" t="s">
        <v>207</v>
      </c>
      <c r="C35" s="70"/>
      <c r="D35" s="261" t="e">
        <f>D32</f>
        <v>#REF!</v>
      </c>
      <c r="E35" s="70"/>
      <c r="F35" s="261">
        <f>F32</f>
        <v>4276.29</v>
      </c>
      <c r="G35" s="70"/>
      <c r="H35" s="261">
        <f>H32</f>
        <v>20540.18</v>
      </c>
      <c r="I35" s="70"/>
      <c r="J35" s="261" t="e">
        <f>J32</f>
        <v>#REF!</v>
      </c>
      <c r="K35" s="97"/>
      <c r="L35" s="246"/>
      <c r="M35" s="261">
        <f t="shared" si="9"/>
        <v>0</v>
      </c>
      <c r="N35" s="261" t="e">
        <f t="shared" si="9"/>
        <v>#REF!</v>
      </c>
      <c r="O35" s="261">
        <f t="shared" si="9"/>
        <v>0</v>
      </c>
      <c r="P35" s="261">
        <f t="shared" si="9"/>
        <v>4276.29</v>
      </c>
      <c r="Q35" s="261">
        <f t="shared" si="9"/>
        <v>0</v>
      </c>
      <c r="R35" s="261">
        <f t="shared" si="9"/>
        <v>20540.18</v>
      </c>
      <c r="S35" s="261">
        <f t="shared" si="9"/>
        <v>0</v>
      </c>
      <c r="T35" s="261" t="e">
        <f t="shared" si="9"/>
        <v>#REF!</v>
      </c>
    </row>
    <row r="36" spans="1:20" ht="16.5" customHeight="1">
      <c r="A36" s="20" t="s">
        <v>215</v>
      </c>
      <c r="B36" s="260" t="s">
        <v>216</v>
      </c>
      <c r="C36" s="70"/>
      <c r="D36" s="261" t="e">
        <f>D33</f>
        <v>#REF!</v>
      </c>
      <c r="E36" s="70"/>
      <c r="F36" s="261">
        <f>F33</f>
        <v>0</v>
      </c>
      <c r="G36" s="70"/>
      <c r="H36" s="261">
        <f>H33</f>
        <v>0</v>
      </c>
      <c r="I36" s="70"/>
      <c r="J36" s="261" t="e">
        <f>J33</f>
        <v>#REF!</v>
      </c>
      <c r="K36" s="97"/>
      <c r="L36" s="246"/>
      <c r="M36" s="261">
        <f t="shared" si="9"/>
        <v>0</v>
      </c>
      <c r="N36" s="261" t="e">
        <f t="shared" si="9"/>
        <v>#REF!</v>
      </c>
      <c r="O36" s="261">
        <f t="shared" si="9"/>
        <v>0</v>
      </c>
      <c r="P36" s="261">
        <f t="shared" si="9"/>
        <v>0</v>
      </c>
      <c r="Q36" s="261">
        <f t="shared" si="9"/>
        <v>0</v>
      </c>
      <c r="R36" s="261">
        <f t="shared" si="9"/>
        <v>0</v>
      </c>
      <c r="S36" s="261">
        <f t="shared" si="9"/>
        <v>0</v>
      </c>
      <c r="T36" s="261" t="e">
        <f t="shared" si="9"/>
        <v>#REF!</v>
      </c>
    </row>
    <row r="37" spans="1:20" ht="13.5" customHeight="1" hidden="1">
      <c r="A37" s="271" t="s">
        <v>217</v>
      </c>
      <c r="B37" s="272" t="s">
        <v>204</v>
      </c>
      <c r="C37" s="271">
        <v>0.9693480929149638</v>
      </c>
      <c r="D37" s="279"/>
      <c r="E37" s="279">
        <v>0</v>
      </c>
      <c r="F37" s="279"/>
      <c r="G37" s="279">
        <v>3.84</v>
      </c>
      <c r="H37" s="279"/>
      <c r="I37" s="279">
        <v>10.7</v>
      </c>
      <c r="J37" s="280"/>
      <c r="K37" s="126"/>
      <c r="L37" s="127"/>
      <c r="M37" s="275">
        <f t="shared" si="9"/>
        <v>0.97</v>
      </c>
      <c r="N37" s="275">
        <f t="shared" si="9"/>
        <v>0</v>
      </c>
      <c r="O37" s="275">
        <f t="shared" si="9"/>
        <v>0</v>
      </c>
      <c r="P37" s="275">
        <f t="shared" si="9"/>
        <v>0</v>
      </c>
      <c r="Q37" s="275">
        <f t="shared" si="9"/>
        <v>3.84</v>
      </c>
      <c r="R37" s="275">
        <f t="shared" si="9"/>
        <v>0</v>
      </c>
      <c r="S37" s="275">
        <f t="shared" si="9"/>
        <v>10.7</v>
      </c>
      <c r="T37" s="281">
        <f t="shared" si="9"/>
        <v>0</v>
      </c>
    </row>
    <row r="38" spans="1:20" ht="18.75" customHeight="1">
      <c r="A38" s="322" t="s">
        <v>218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3"/>
      <c r="L38" s="323"/>
      <c r="M38" s="323"/>
      <c r="N38" s="323"/>
      <c r="O38" s="323"/>
      <c r="P38" s="323"/>
      <c r="Q38" s="323"/>
      <c r="R38" s="323"/>
      <c r="S38" s="323"/>
      <c r="T38" s="323"/>
    </row>
    <row r="39" spans="1:21" s="257" customFormat="1" ht="49.5" customHeight="1">
      <c r="A39" s="163">
        <v>10</v>
      </c>
      <c r="B39" s="254" t="s">
        <v>219</v>
      </c>
      <c r="C39" s="247" t="e">
        <f>E39+G39+I39</f>
        <v>#REF!</v>
      </c>
      <c r="D39" s="247" t="e">
        <f>ROUND(C39/12/C11*1000,2)</f>
        <v>#REF!</v>
      </c>
      <c r="E39" s="247">
        <f>Додаток4!E32</f>
        <v>165.74840198155772</v>
      </c>
      <c r="F39" s="247">
        <f>ROUND(E39/12/E11*1000,2)</f>
        <v>96.66</v>
      </c>
      <c r="G39" s="247">
        <f>Додаток4!G32</f>
        <v>206.88</v>
      </c>
      <c r="H39" s="247">
        <f>ROUND(G39/12/G11*1000,2)</f>
        <v>471.26</v>
      </c>
      <c r="I39" s="247" t="e">
        <f>Додаток4!#REF!</f>
        <v>#REF!</v>
      </c>
      <c r="J39" s="247" t="e">
        <f>ROUND(I39/12/I11*1000,2)</f>
        <v>#REF!</v>
      </c>
      <c r="K39" s="96"/>
      <c r="L39" s="255"/>
      <c r="M39" s="256" t="e">
        <f aca="true" t="shared" si="10" ref="M39:T44">ROUND(C39,2)</f>
        <v>#REF!</v>
      </c>
      <c r="N39" s="247" t="e">
        <f t="shared" si="10"/>
        <v>#REF!</v>
      </c>
      <c r="O39" s="256">
        <f t="shared" si="10"/>
        <v>165.75</v>
      </c>
      <c r="P39" s="247">
        <f t="shared" si="10"/>
        <v>96.66</v>
      </c>
      <c r="Q39" s="256">
        <f t="shared" si="10"/>
        <v>206.88</v>
      </c>
      <c r="R39" s="247">
        <f t="shared" si="10"/>
        <v>471.26</v>
      </c>
      <c r="S39" s="256" t="e">
        <f t="shared" si="10"/>
        <v>#REF!</v>
      </c>
      <c r="T39" s="247" t="e">
        <f t="shared" si="10"/>
        <v>#REF!</v>
      </c>
      <c r="U39" s="258"/>
    </row>
    <row r="40" spans="1:20" ht="36" customHeight="1">
      <c r="A40" s="20">
        <v>11</v>
      </c>
      <c r="B40" s="260" t="s">
        <v>220</v>
      </c>
      <c r="C40" s="261" t="e">
        <f>E40+G40+I40</f>
        <v>#REF!</v>
      </c>
      <c r="D40" s="261" t="e">
        <f>ROUND(C40/12/C11*1000,2)</f>
        <v>#REF!</v>
      </c>
      <c r="E40" s="261">
        <f>Додаток4!E34</f>
        <v>0</v>
      </c>
      <c r="F40" s="261">
        <f>ROUND(E40/12/E11*1000,2)</f>
        <v>0</v>
      </c>
      <c r="G40" s="261">
        <f>Додаток4!G34</f>
        <v>0</v>
      </c>
      <c r="H40" s="261">
        <f>ROUND(G40/12/G11*1000,2)</f>
        <v>0</v>
      </c>
      <c r="I40" s="261" t="e">
        <f>Додаток4!#REF!</f>
        <v>#REF!</v>
      </c>
      <c r="J40" s="261" t="e">
        <f>ROUND(I40/12/I11*1000,2)</f>
        <v>#REF!</v>
      </c>
      <c r="K40" s="245"/>
      <c r="L40" s="246"/>
      <c r="M40" s="261" t="e">
        <f t="shared" si="10"/>
        <v>#REF!</v>
      </c>
      <c r="N40" s="261" t="e">
        <f t="shared" si="10"/>
        <v>#REF!</v>
      </c>
      <c r="O40" s="261">
        <f t="shared" si="10"/>
        <v>0</v>
      </c>
      <c r="P40" s="261">
        <f t="shared" si="10"/>
        <v>0</v>
      </c>
      <c r="Q40" s="261">
        <f t="shared" si="10"/>
        <v>0</v>
      </c>
      <c r="R40" s="261">
        <f t="shared" si="10"/>
        <v>0</v>
      </c>
      <c r="S40" s="261" t="e">
        <f t="shared" si="10"/>
        <v>#REF!</v>
      </c>
      <c r="T40" s="261" t="e">
        <f t="shared" si="10"/>
        <v>#REF!</v>
      </c>
    </row>
    <row r="41" spans="1:20" s="257" customFormat="1" ht="47.25" customHeight="1">
      <c r="A41" s="163">
        <v>12</v>
      </c>
      <c r="B41" s="254" t="s">
        <v>221</v>
      </c>
      <c r="C41" s="63"/>
      <c r="D41" s="247" t="e">
        <f>D42+D43</f>
        <v>#REF!</v>
      </c>
      <c r="E41" s="63"/>
      <c r="F41" s="247">
        <f>F42+F43</f>
        <v>96.66</v>
      </c>
      <c r="G41" s="63"/>
      <c r="H41" s="247">
        <f>H42+H43</f>
        <v>471.26</v>
      </c>
      <c r="I41" s="63"/>
      <c r="J41" s="247">
        <f>H41</f>
        <v>471.26</v>
      </c>
      <c r="K41" s="96"/>
      <c r="L41" s="255"/>
      <c r="M41" s="247">
        <f t="shared" si="10"/>
        <v>0</v>
      </c>
      <c r="N41" s="247" t="e">
        <f t="shared" si="10"/>
        <v>#REF!</v>
      </c>
      <c r="O41" s="247">
        <f t="shared" si="10"/>
        <v>0</v>
      </c>
      <c r="P41" s="247">
        <f t="shared" si="10"/>
        <v>96.66</v>
      </c>
      <c r="Q41" s="247">
        <f t="shared" si="10"/>
        <v>0</v>
      </c>
      <c r="R41" s="247">
        <f t="shared" si="10"/>
        <v>471.26</v>
      </c>
      <c r="S41" s="247">
        <f t="shared" si="10"/>
        <v>0</v>
      </c>
      <c r="T41" s="247">
        <f t="shared" si="10"/>
        <v>471.26</v>
      </c>
    </row>
    <row r="42" spans="1:20" ht="16.5" customHeight="1">
      <c r="A42" s="20" t="s">
        <v>222</v>
      </c>
      <c r="B42" s="260" t="s">
        <v>207</v>
      </c>
      <c r="C42" s="70"/>
      <c r="D42" s="261" t="e">
        <f>D39</f>
        <v>#REF!</v>
      </c>
      <c r="E42" s="70"/>
      <c r="F42" s="261">
        <f>F39</f>
        <v>96.66</v>
      </c>
      <c r="G42" s="70"/>
      <c r="H42" s="261">
        <f>H39</f>
        <v>471.26</v>
      </c>
      <c r="I42" s="70"/>
      <c r="J42" s="261" t="e">
        <f>J39</f>
        <v>#REF!</v>
      </c>
      <c r="K42" s="97"/>
      <c r="L42" s="246"/>
      <c r="M42" s="261">
        <f t="shared" si="10"/>
        <v>0</v>
      </c>
      <c r="N42" s="261" t="e">
        <f t="shared" si="10"/>
        <v>#REF!</v>
      </c>
      <c r="O42" s="261">
        <f t="shared" si="10"/>
        <v>0</v>
      </c>
      <c r="P42" s="261">
        <f t="shared" si="10"/>
        <v>96.66</v>
      </c>
      <c r="Q42" s="261">
        <f t="shared" si="10"/>
        <v>0</v>
      </c>
      <c r="R42" s="261">
        <f t="shared" si="10"/>
        <v>471.26</v>
      </c>
      <c r="S42" s="261">
        <f t="shared" si="10"/>
        <v>0</v>
      </c>
      <c r="T42" s="261" t="e">
        <f t="shared" si="10"/>
        <v>#REF!</v>
      </c>
    </row>
    <row r="43" spans="1:20" ht="15" customHeight="1">
      <c r="A43" s="20" t="s">
        <v>223</v>
      </c>
      <c r="B43" s="260" t="s">
        <v>224</v>
      </c>
      <c r="C43" s="70"/>
      <c r="D43" s="261" t="e">
        <f>D40</f>
        <v>#REF!</v>
      </c>
      <c r="E43" s="70"/>
      <c r="F43" s="261">
        <f>F40</f>
        <v>0</v>
      </c>
      <c r="G43" s="70"/>
      <c r="H43" s="261">
        <f>H40</f>
        <v>0</v>
      </c>
      <c r="I43" s="70"/>
      <c r="J43" s="261" t="e">
        <f>J40</f>
        <v>#REF!</v>
      </c>
      <c r="K43" s="97"/>
      <c r="L43" s="246"/>
      <c r="M43" s="261">
        <f t="shared" si="10"/>
        <v>0</v>
      </c>
      <c r="N43" s="261" t="e">
        <f t="shared" si="10"/>
        <v>#REF!</v>
      </c>
      <c r="O43" s="261">
        <f t="shared" si="10"/>
        <v>0</v>
      </c>
      <c r="P43" s="261">
        <f t="shared" si="10"/>
        <v>0</v>
      </c>
      <c r="Q43" s="261">
        <f t="shared" si="10"/>
        <v>0</v>
      </c>
      <c r="R43" s="261">
        <f t="shared" si="10"/>
        <v>0</v>
      </c>
      <c r="S43" s="261">
        <f t="shared" si="10"/>
        <v>0</v>
      </c>
      <c r="T43" s="261" t="e">
        <f t="shared" si="10"/>
        <v>#REF!</v>
      </c>
    </row>
    <row r="44" spans="1:20" ht="13.5" customHeight="1" hidden="1">
      <c r="A44" s="271" t="s">
        <v>259</v>
      </c>
      <c r="B44" s="272" t="s">
        <v>204</v>
      </c>
      <c r="C44" s="271">
        <v>0.6475228357214132</v>
      </c>
      <c r="D44" s="279"/>
      <c r="E44" s="279">
        <v>0</v>
      </c>
      <c r="F44" s="279"/>
      <c r="G44" s="279">
        <v>3.84</v>
      </c>
      <c r="H44" s="279"/>
      <c r="I44" s="279">
        <v>10.7</v>
      </c>
      <c r="J44" s="280"/>
      <c r="K44" s="126"/>
      <c r="L44" s="127"/>
      <c r="M44" s="282">
        <f t="shared" si="10"/>
        <v>0.65</v>
      </c>
      <c r="N44" s="282">
        <f t="shared" si="10"/>
        <v>0</v>
      </c>
      <c r="O44" s="282">
        <f t="shared" si="10"/>
        <v>0</v>
      </c>
      <c r="P44" s="282">
        <f t="shared" si="10"/>
        <v>0</v>
      </c>
      <c r="Q44" s="282">
        <f t="shared" si="10"/>
        <v>3.84</v>
      </c>
      <c r="R44" s="282">
        <f t="shared" si="10"/>
        <v>0</v>
      </c>
      <c r="S44" s="282">
        <f t="shared" si="10"/>
        <v>10.7</v>
      </c>
      <c r="T44" s="281">
        <f t="shared" si="10"/>
        <v>0</v>
      </c>
    </row>
    <row r="45" spans="1:20" ht="15.75" customHeight="1">
      <c r="A45" s="322" t="s">
        <v>225</v>
      </c>
      <c r="B45" s="322"/>
      <c r="C45" s="322"/>
      <c r="D45" s="322"/>
      <c r="E45" s="322"/>
      <c r="F45" s="322"/>
      <c r="G45" s="322"/>
      <c r="H45" s="322"/>
      <c r="I45" s="322"/>
      <c r="J45" s="322"/>
      <c r="K45" s="323"/>
      <c r="L45" s="323"/>
      <c r="M45" s="323"/>
      <c r="N45" s="323"/>
      <c r="O45" s="323"/>
      <c r="P45" s="323"/>
      <c r="Q45" s="323"/>
      <c r="R45" s="323"/>
      <c r="S45" s="323"/>
      <c r="T45" s="323"/>
    </row>
    <row r="46" spans="1:21" s="257" customFormat="1" ht="35.25" customHeight="1">
      <c r="A46" s="163">
        <v>13</v>
      </c>
      <c r="B46" s="254" t="s">
        <v>226</v>
      </c>
      <c r="C46" s="63"/>
      <c r="D46" s="247" t="e">
        <f>D47+D48</f>
        <v>#REF!</v>
      </c>
      <c r="E46" s="63"/>
      <c r="F46" s="247">
        <f>F47+F48</f>
        <v>213.69</v>
      </c>
      <c r="G46" s="63"/>
      <c r="H46" s="247">
        <f>H47+H48</f>
        <v>250.3</v>
      </c>
      <c r="I46" s="63"/>
      <c r="J46" s="247" t="e">
        <f>J47+J48</f>
        <v>#REF!</v>
      </c>
      <c r="K46" s="96"/>
      <c r="L46" s="255"/>
      <c r="M46" s="247">
        <f aca="true" t="shared" si="11" ref="M46:T52">ROUND(C46,2)</f>
        <v>0</v>
      </c>
      <c r="N46" s="247" t="e">
        <f t="shared" si="11"/>
        <v>#REF!</v>
      </c>
      <c r="O46" s="247">
        <f t="shared" si="11"/>
        <v>0</v>
      </c>
      <c r="P46" s="247">
        <f t="shared" si="11"/>
        <v>213.69</v>
      </c>
      <c r="Q46" s="247">
        <f t="shared" si="11"/>
        <v>0</v>
      </c>
      <c r="R46" s="247">
        <f t="shared" si="11"/>
        <v>250.3</v>
      </c>
      <c r="S46" s="247">
        <f t="shared" si="11"/>
        <v>0</v>
      </c>
      <c r="T46" s="247" t="e">
        <f t="shared" si="11"/>
        <v>#REF!</v>
      </c>
      <c r="U46" s="258"/>
    </row>
    <row r="47" spans="1:20" ht="16.5">
      <c r="A47" s="20" t="s">
        <v>227</v>
      </c>
      <c r="B47" s="260" t="s">
        <v>207</v>
      </c>
      <c r="C47" s="70"/>
      <c r="D47" s="261" t="e">
        <f>D23</f>
        <v>#REF!</v>
      </c>
      <c r="E47" s="70"/>
      <c r="F47" s="261">
        <f>F23</f>
        <v>213.69</v>
      </c>
      <c r="G47" s="70"/>
      <c r="H47" s="261">
        <f>H23</f>
        <v>216.46</v>
      </c>
      <c r="I47" s="70"/>
      <c r="J47" s="261" t="e">
        <f>J23</f>
        <v>#REF!</v>
      </c>
      <c r="K47" s="97"/>
      <c r="L47" s="246"/>
      <c r="M47" s="261">
        <f t="shared" si="11"/>
        <v>0</v>
      </c>
      <c r="N47" s="261" t="e">
        <f t="shared" si="11"/>
        <v>#REF!</v>
      </c>
      <c r="O47" s="261">
        <f t="shared" si="11"/>
        <v>0</v>
      </c>
      <c r="P47" s="261">
        <f t="shared" si="11"/>
        <v>213.69</v>
      </c>
      <c r="Q47" s="261">
        <f t="shared" si="11"/>
        <v>0</v>
      </c>
      <c r="R47" s="261">
        <f t="shared" si="11"/>
        <v>216.46</v>
      </c>
      <c r="S47" s="261">
        <f t="shared" si="11"/>
        <v>0</v>
      </c>
      <c r="T47" s="261" t="e">
        <f t="shared" si="11"/>
        <v>#REF!</v>
      </c>
    </row>
    <row r="48" spans="1:20" ht="16.5">
      <c r="A48" s="20" t="s">
        <v>228</v>
      </c>
      <c r="B48" s="260" t="s">
        <v>202</v>
      </c>
      <c r="C48" s="70"/>
      <c r="D48" s="261" t="e">
        <f>D24</f>
        <v>#REF!</v>
      </c>
      <c r="E48" s="70"/>
      <c r="F48" s="261">
        <f>F24</f>
        <v>0</v>
      </c>
      <c r="G48" s="70"/>
      <c r="H48" s="261">
        <f>H24</f>
        <v>33.84</v>
      </c>
      <c r="I48" s="70"/>
      <c r="J48" s="261" t="e">
        <f>J24</f>
        <v>#REF!</v>
      </c>
      <c r="K48" s="97"/>
      <c r="L48" s="246"/>
      <c r="M48" s="261">
        <f t="shared" si="11"/>
        <v>0</v>
      </c>
      <c r="N48" s="261" t="e">
        <f t="shared" si="11"/>
        <v>#REF!</v>
      </c>
      <c r="O48" s="261">
        <f t="shared" si="11"/>
        <v>0</v>
      </c>
      <c r="P48" s="261">
        <f t="shared" si="11"/>
        <v>0</v>
      </c>
      <c r="Q48" s="261">
        <f t="shared" si="11"/>
        <v>0</v>
      </c>
      <c r="R48" s="261">
        <f t="shared" si="11"/>
        <v>33.84</v>
      </c>
      <c r="S48" s="261">
        <f t="shared" si="11"/>
        <v>0</v>
      </c>
      <c r="T48" s="261" t="e">
        <f t="shared" si="11"/>
        <v>#REF!</v>
      </c>
    </row>
    <row r="49" spans="1:20" ht="16.5" customHeight="1" hidden="1">
      <c r="A49" s="20" t="s">
        <v>229</v>
      </c>
      <c r="B49" s="260" t="s">
        <v>204</v>
      </c>
      <c r="C49" s="104">
        <v>1.92</v>
      </c>
      <c r="D49" s="104">
        <v>0</v>
      </c>
      <c r="E49" s="104">
        <v>0</v>
      </c>
      <c r="F49" s="104">
        <v>0</v>
      </c>
      <c r="G49" s="104">
        <v>2.94</v>
      </c>
      <c r="H49" s="104">
        <v>0</v>
      </c>
      <c r="I49" s="104">
        <v>9.68</v>
      </c>
      <c r="J49" s="104">
        <v>0</v>
      </c>
      <c r="K49" s="97"/>
      <c r="L49" s="246"/>
      <c r="M49" s="262">
        <f t="shared" si="11"/>
        <v>1.92</v>
      </c>
      <c r="N49" s="262">
        <f t="shared" si="11"/>
        <v>0</v>
      </c>
      <c r="O49" s="262">
        <f t="shared" si="11"/>
        <v>0</v>
      </c>
      <c r="P49" s="262">
        <f t="shared" si="11"/>
        <v>0</v>
      </c>
      <c r="Q49" s="262">
        <f t="shared" si="11"/>
        <v>2.94</v>
      </c>
      <c r="R49" s="262">
        <f t="shared" si="11"/>
        <v>0</v>
      </c>
      <c r="S49" s="262">
        <f t="shared" si="11"/>
        <v>9.68</v>
      </c>
      <c r="T49" s="262">
        <f t="shared" si="11"/>
        <v>0</v>
      </c>
    </row>
    <row r="50" spans="1:20" s="257" customFormat="1" ht="63" customHeight="1">
      <c r="A50" s="163">
        <v>14</v>
      </c>
      <c r="B50" s="254" t="s">
        <v>230</v>
      </c>
      <c r="C50" s="63"/>
      <c r="D50" s="247" t="e">
        <f>D51+D52</f>
        <v>#REF!</v>
      </c>
      <c r="E50" s="63"/>
      <c r="F50" s="247">
        <f>F51+F52</f>
        <v>11386.21</v>
      </c>
      <c r="G50" s="63"/>
      <c r="H50" s="247">
        <f>H51+H52</f>
        <v>31595.91</v>
      </c>
      <c r="I50" s="63"/>
      <c r="J50" s="247" t="e">
        <f>J51+J52</f>
        <v>#REF!</v>
      </c>
      <c r="K50" s="96"/>
      <c r="L50" s="255"/>
      <c r="M50" s="247">
        <f t="shared" si="11"/>
        <v>0</v>
      </c>
      <c r="N50" s="247" t="e">
        <f t="shared" si="11"/>
        <v>#REF!</v>
      </c>
      <c r="O50" s="247">
        <f t="shared" si="11"/>
        <v>0</v>
      </c>
      <c r="P50" s="247">
        <f t="shared" si="11"/>
        <v>11386.21</v>
      </c>
      <c r="Q50" s="247">
        <f t="shared" si="11"/>
        <v>0</v>
      </c>
      <c r="R50" s="247">
        <f t="shared" si="11"/>
        <v>31595.91</v>
      </c>
      <c r="S50" s="247">
        <f t="shared" si="11"/>
        <v>0</v>
      </c>
      <c r="T50" s="247" t="e">
        <f t="shared" si="11"/>
        <v>#REF!</v>
      </c>
    </row>
    <row r="51" spans="1:20" ht="16.5">
      <c r="A51" s="20" t="s">
        <v>231</v>
      </c>
      <c r="B51" s="260" t="s">
        <v>207</v>
      </c>
      <c r="C51" s="70"/>
      <c r="D51" s="261" t="e">
        <f>D27+D35+D42</f>
        <v>#REF!</v>
      </c>
      <c r="E51" s="70"/>
      <c r="F51" s="261">
        <f>F27+F35+F42</f>
        <v>11386.21</v>
      </c>
      <c r="G51" s="70"/>
      <c r="H51" s="261">
        <f>H27+H35+H42</f>
        <v>30169.19</v>
      </c>
      <c r="I51" s="70"/>
      <c r="J51" s="261" t="e">
        <f>J27+J35+J42</f>
        <v>#REF!</v>
      </c>
      <c r="K51" s="97"/>
      <c r="L51" s="246"/>
      <c r="M51" s="261">
        <f t="shared" si="11"/>
        <v>0</v>
      </c>
      <c r="N51" s="261" t="e">
        <f t="shared" si="11"/>
        <v>#REF!</v>
      </c>
      <c r="O51" s="261">
        <f t="shared" si="11"/>
        <v>0</v>
      </c>
      <c r="P51" s="261">
        <f t="shared" si="11"/>
        <v>11386.21</v>
      </c>
      <c r="Q51" s="261">
        <f t="shared" si="11"/>
        <v>0</v>
      </c>
      <c r="R51" s="261">
        <f t="shared" si="11"/>
        <v>30169.19</v>
      </c>
      <c r="S51" s="261">
        <f t="shared" si="11"/>
        <v>0</v>
      </c>
      <c r="T51" s="261" t="e">
        <f t="shared" si="11"/>
        <v>#REF!</v>
      </c>
    </row>
    <row r="52" spans="1:20" ht="16.5">
      <c r="A52" s="20" t="s">
        <v>232</v>
      </c>
      <c r="B52" s="260" t="s">
        <v>202</v>
      </c>
      <c r="C52" s="70"/>
      <c r="D52" s="261" t="e">
        <f>D28+D36+D43</f>
        <v>#REF!</v>
      </c>
      <c r="E52" s="70"/>
      <c r="F52" s="261">
        <f>F28+F36+F43</f>
        <v>0</v>
      </c>
      <c r="G52" s="70"/>
      <c r="H52" s="261">
        <f>H28+H36+H43</f>
        <v>1426.72</v>
      </c>
      <c r="I52" s="70"/>
      <c r="J52" s="261" t="e">
        <f>J28+J36+J43</f>
        <v>#REF!</v>
      </c>
      <c r="K52" s="97"/>
      <c r="L52" s="246"/>
      <c r="M52" s="261">
        <f t="shared" si="11"/>
        <v>0</v>
      </c>
      <c r="N52" s="261" t="e">
        <f t="shared" si="11"/>
        <v>#REF!</v>
      </c>
      <c r="O52" s="261">
        <f t="shared" si="11"/>
        <v>0</v>
      </c>
      <c r="P52" s="261">
        <f t="shared" si="11"/>
        <v>0</v>
      </c>
      <c r="Q52" s="261">
        <f t="shared" si="11"/>
        <v>0</v>
      </c>
      <c r="R52" s="261">
        <f t="shared" si="11"/>
        <v>1426.72</v>
      </c>
      <c r="S52" s="261">
        <f t="shared" si="11"/>
        <v>0</v>
      </c>
      <c r="T52" s="261" t="e">
        <f t="shared" si="11"/>
        <v>#REF!</v>
      </c>
    </row>
    <row r="53" spans="1:17" ht="13.5" hidden="1">
      <c r="A53" s="122" t="s">
        <v>233</v>
      </c>
      <c r="B53" s="123" t="s">
        <v>204</v>
      </c>
      <c r="C53" s="283">
        <v>1.9263131866225296</v>
      </c>
      <c r="D53" s="284"/>
      <c r="E53" s="284">
        <v>0</v>
      </c>
      <c r="F53" s="284"/>
      <c r="G53" s="284">
        <v>9.878633500908602</v>
      </c>
      <c r="H53" s="284"/>
      <c r="I53" s="284">
        <v>17.62603125552242</v>
      </c>
      <c r="J53" s="285"/>
      <c r="K53" s="286"/>
      <c r="L53" s="286"/>
      <c r="M53" s="286"/>
      <c r="N53" s="286"/>
      <c r="O53" s="287"/>
      <c r="P53" s="287"/>
      <c r="Q53" s="287"/>
    </row>
    <row r="54" spans="1:17" ht="13.5">
      <c r="A54" s="237"/>
      <c r="B54" s="237"/>
      <c r="C54" s="237"/>
      <c r="D54" s="288"/>
      <c r="E54" s="288"/>
      <c r="F54" s="288"/>
      <c r="G54" s="288"/>
      <c r="H54" s="288"/>
      <c r="I54" s="288"/>
      <c r="J54" s="285"/>
      <c r="K54" s="286"/>
      <c r="L54" s="286"/>
      <c r="M54" s="286"/>
      <c r="N54" s="286"/>
      <c r="O54" s="287"/>
      <c r="P54" s="287"/>
      <c r="Q54" s="287"/>
    </row>
    <row r="55" spans="1:17" ht="13.5">
      <c r="A55" s="237"/>
      <c r="B55" s="237"/>
      <c r="C55" s="237"/>
      <c r="D55" s="288"/>
      <c r="E55" s="288"/>
      <c r="F55" s="288"/>
      <c r="G55" s="288"/>
      <c r="H55" s="288"/>
      <c r="I55" s="288"/>
      <c r="J55" s="285"/>
      <c r="K55" s="286"/>
      <c r="L55" s="286"/>
      <c r="M55" s="286"/>
      <c r="N55" s="286"/>
      <c r="O55" s="287"/>
      <c r="P55" s="287"/>
      <c r="Q55" s="287"/>
    </row>
    <row r="56" spans="2:10" s="2" customFormat="1" ht="15" hidden="1">
      <c r="B56" s="46" t="s">
        <v>66</v>
      </c>
      <c r="C56" s="143"/>
      <c r="D56" s="289"/>
      <c r="E56" s="289"/>
      <c r="F56" s="289"/>
      <c r="G56" s="290"/>
      <c r="H56" s="291"/>
      <c r="I56" s="291" t="s">
        <v>260</v>
      </c>
      <c r="J56" s="290"/>
    </row>
    <row r="57" spans="1:17" ht="15">
      <c r="A57" s="292" t="s">
        <v>234</v>
      </c>
      <c r="B57" s="293"/>
      <c r="C57" s="293"/>
      <c r="D57" s="293"/>
      <c r="E57" s="293"/>
      <c r="F57" s="293"/>
      <c r="G57" s="293"/>
      <c r="H57" s="293"/>
      <c r="I57" s="294" t="s">
        <v>261</v>
      </c>
      <c r="J57" s="285"/>
      <c r="K57" s="287"/>
      <c r="L57" s="287"/>
      <c r="M57" s="287"/>
      <c r="N57" s="287"/>
      <c r="O57" s="287"/>
      <c r="P57" s="287"/>
      <c r="Q57" s="287"/>
    </row>
  </sheetData>
  <sheetProtection selectLockedCells="1" selectUnlockedCells="1"/>
  <mergeCells count="22">
    <mergeCell ref="A5:J5"/>
    <mergeCell ref="C6:G6"/>
    <mergeCell ref="A7:A8"/>
    <mergeCell ref="B7:B8"/>
    <mergeCell ref="C7:D7"/>
    <mergeCell ref="E7:F7"/>
    <mergeCell ref="G7:H7"/>
    <mergeCell ref="I7:J7"/>
    <mergeCell ref="K7:K8"/>
    <mergeCell ref="L7:L8"/>
    <mergeCell ref="M7:N7"/>
    <mergeCell ref="O7:P7"/>
    <mergeCell ref="Q7:R7"/>
    <mergeCell ref="S7:T7"/>
    <mergeCell ref="A45:J45"/>
    <mergeCell ref="K45:T45"/>
    <mergeCell ref="A12:J12"/>
    <mergeCell ref="K12:T12"/>
    <mergeCell ref="A30:J30"/>
    <mergeCell ref="K30:T30"/>
    <mergeCell ref="A38:J38"/>
    <mergeCell ref="K38:T38"/>
  </mergeCells>
  <printOptions horizontalCentered="1"/>
  <pageMargins left="0.43333333333333335" right="0.43333333333333335" top="0.5513888888888889" bottom="0.15763888888888888" header="0.5118055555555555" footer="0.5118055555555555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Portable by punsh</cp:lastModifiedBy>
  <cp:lastPrinted>2017-10-13T09:08:57Z</cp:lastPrinted>
  <dcterms:created xsi:type="dcterms:W3CDTF">2017-10-02T07:13:00Z</dcterms:created>
  <dcterms:modified xsi:type="dcterms:W3CDTF">2017-10-17T06:14:53Z</dcterms:modified>
  <cp:category/>
  <cp:version/>
  <cp:contentType/>
  <cp:contentStatus/>
</cp:coreProperties>
</file>