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Додаток1" sheetId="1" r:id="rId1"/>
    <sheet name="послуга" sheetId="2" r:id="rId2"/>
    <sheet name="Додаток1 скор" sheetId="3" state="hidden" r:id="rId3"/>
    <sheet name="Додаток2 скор" sheetId="4" state="hidden" r:id="rId4"/>
    <sheet name="Двоставк" sheetId="5" state="hidden" r:id="rId5"/>
    <sheet name="Додаток5" sheetId="6" state="hidden" r:id="rId6"/>
    <sheet name="Додаток 5" sheetId="7" state="hidden" r:id="rId7"/>
  </sheets>
  <definedNames>
    <definedName name="_xlfn_IFERROR">NA()</definedName>
    <definedName name="Z_8839ED87_9C42_4CC2_A1AD_6EF9611832A1__wvu_Cols" localSheetId="6">'Додаток 5'!$K:$T</definedName>
    <definedName name="Z_8839ED87_9C42_4CC2_A1AD_6EF9611832A1__wvu_Cols" localSheetId="0">'Додаток1'!$N:$N</definedName>
    <definedName name="Z_8839ED87_9C42_4CC2_A1AD_6EF9611832A1__wvu_Cols" localSheetId="2">('Додаток1 скор'!$C:$G,'Додаток1 скор'!$W:$AD)</definedName>
    <definedName name="Z_8839ED87_9C42_4CC2_A1AD_6EF9611832A1__wvu_Cols" localSheetId="3">('Додаток2 скор'!$C:$G,'Додаток2 скор'!$W:$AD)</definedName>
    <definedName name="Z_8839ED87_9C42_4CC2_A1AD_6EF9611832A1__wvu_PrintArea" localSheetId="4">'Двоставк'!$A$1:$J$57</definedName>
    <definedName name="Z_8839ED87_9C42_4CC2_A1AD_6EF9611832A1__wvu_PrintArea" localSheetId="6">'Додаток 5'!$A$1:$J$57</definedName>
    <definedName name="Z_8839ED87_9C42_4CC2_A1AD_6EF9611832A1__wvu_PrintArea" localSheetId="0">'Додаток1'!$A$1:$M$48</definedName>
    <definedName name="Z_8839ED87_9C42_4CC2_A1AD_6EF9611832A1__wvu_PrintArea" localSheetId="2">'Додаток1 скор'!$A$1:$V$54</definedName>
    <definedName name="Z_8839ED87_9C42_4CC2_A1AD_6EF9611832A1__wvu_PrintArea" localSheetId="3">'Додаток2 скор'!$A$1:$V$52</definedName>
    <definedName name="Z_8839ED87_9C42_4CC2_A1AD_6EF9611832A1__wvu_PrintArea" localSheetId="5">'Додаток5'!$A$1:$C$22</definedName>
    <definedName name="Z_8839ED87_9C42_4CC2_A1AD_6EF9611832A1__wvu_Rows" localSheetId="4">('Двоставк'!$27:$27,'Двоставк'!$31:$31,'Двоставк'!$38:$38,'Двоставк'!$49:$49,'Двоставк'!$53:$53)</definedName>
    <definedName name="Z_8839ED87_9C42_4CC2_A1AD_6EF9611832A1__wvu_Rows" localSheetId="6">('Додаток 5'!$25:$25,'Додаток 5'!$29:$29,'Додаток 5'!$31:$31,'Додаток 5'!$37:$37,'Додаток 5'!$44:$44,'Додаток 5'!$49:$49,'Додаток 5'!$53:$53,'Додаток 5'!$56:$56)</definedName>
    <definedName name="Z_8839ED87_9C42_4CC2_A1AD_6EF9611832A1__wvu_Rows" localSheetId="0">('Додаток1'!$30:$32,'Додаток1'!$39:$39,'Додаток1'!$48:$48,'Додаток1'!$51:$51)</definedName>
    <definedName name="Z_8839ED87_9C42_4CC2_A1AD_6EF9611832A1__wvu_Rows" localSheetId="2">('Додаток1 скор'!$37:$39,'Додаток1 скор'!$45:$45)</definedName>
    <definedName name="Z_8839ED87_9C42_4CC2_A1AD_6EF9611832A1__wvu_Rows" localSheetId="3">('Додаток2 скор'!$36:$38,'Додаток2 скор'!$44:$44)</definedName>
    <definedName name="Z_B233FDC7_B79B_43AD_9288_8B6C8ACB6ACB__wvu_PrintArea" localSheetId="4">'Двоставк'!$A$1:$J$57</definedName>
    <definedName name="Z_B233FDC7_B79B_43AD_9288_8B6C8ACB6ACB__wvu_PrintArea" localSheetId="0">'Додаток1'!$A$1:$M$51</definedName>
    <definedName name="Z_B233FDC7_B79B_43AD_9288_8B6C8ACB6ACB__wvu_PrintArea" localSheetId="2">'Додаток1 скор'!$A$1:$V$57</definedName>
    <definedName name="Z_B233FDC7_B79B_43AD_9288_8B6C8ACB6ACB__wvu_Rows" localSheetId="4">('Двоставк'!$27:$27,'Двоставк'!$31:$31,'Двоставк'!$38:$38,'Двоставк'!$49:$49,'Двоставк'!$53:$53)</definedName>
    <definedName name="Z_BF9F446D_D2F9_4EAA_BD71_B531E336462E__wvu_Cols" localSheetId="6">'Додаток 5'!$K:$T</definedName>
    <definedName name="Z_BF9F446D_D2F9_4EAA_BD71_B531E336462E__wvu_Cols" localSheetId="0">'Додаток1'!$N:$N</definedName>
    <definedName name="Z_BF9F446D_D2F9_4EAA_BD71_B531E336462E__wvu_Cols" localSheetId="2">('Додаток1 скор'!$C:$C,'Додаток1 скор'!$W:$AD)</definedName>
    <definedName name="Z_BF9F446D_D2F9_4EAA_BD71_B531E336462E__wvu_Cols" localSheetId="3">('Додаток2 скор'!$C:$C,'Додаток2 скор'!$W:$AD)</definedName>
    <definedName name="Z_BF9F446D_D2F9_4EAA_BD71_B531E336462E__wvu_PrintArea" localSheetId="4">'Двоставк'!$A$1:$J$57</definedName>
    <definedName name="Z_BF9F446D_D2F9_4EAA_BD71_B531E336462E__wvu_PrintArea" localSheetId="6">'Додаток 5'!$A$1:$J$57</definedName>
    <definedName name="Z_BF9F446D_D2F9_4EAA_BD71_B531E336462E__wvu_PrintArea" localSheetId="0">'Додаток1'!$A$1:$M$48</definedName>
    <definedName name="Z_BF9F446D_D2F9_4EAA_BD71_B531E336462E__wvu_PrintArea" localSheetId="2">'Додаток1 скор'!$A$1:$V$54</definedName>
    <definedName name="Z_BF9F446D_D2F9_4EAA_BD71_B531E336462E__wvu_PrintArea" localSheetId="3">'Додаток2 скор'!$A$1:$V$52</definedName>
    <definedName name="Z_BF9F446D_D2F9_4EAA_BD71_B531E336462E__wvu_PrintArea" localSheetId="5">'Додаток5'!$A$1:$C$22</definedName>
    <definedName name="Z_BF9F446D_D2F9_4EAA_BD71_B531E336462E__wvu_Rows" localSheetId="4">('Двоставк'!$27:$27,'Двоставк'!$31:$31,'Двоставк'!$38:$38,'Двоставк'!$49:$49,'Двоставк'!$53:$53)</definedName>
    <definedName name="Z_BF9F446D_D2F9_4EAA_BD71_B531E336462E__wvu_Rows" localSheetId="6">('Додаток 5'!$25:$25,'Додаток 5'!$29:$29,'Додаток 5'!$31:$31,'Додаток 5'!$37:$37,'Додаток 5'!$44:$44,'Додаток 5'!$49:$49,'Додаток 5'!$53:$53,'Додаток 5'!$56:$56)</definedName>
    <definedName name="Z_BF9F446D_D2F9_4EAA_BD71_B531E336462E__wvu_Rows" localSheetId="0">('Додаток1'!$30:$32,'Додаток1'!$39:$39,'Додаток1'!$48:$48,'Додаток1'!$51:$51)</definedName>
    <definedName name="Z_BF9F446D_D2F9_4EAA_BD71_B531E336462E__wvu_Rows" localSheetId="2">('Додаток1 скор'!$37:$39,'Додаток1 скор'!$45:$45)</definedName>
    <definedName name="Z_BF9F446D_D2F9_4EAA_BD71_B531E336462E__wvu_Rows" localSheetId="3">('Додаток2 скор'!$36:$38,'Додаток2 скор'!$44:$44)</definedName>
    <definedName name="_xlnm.Print_Area" localSheetId="4">'Двоставк'!$A$1:$J$57</definedName>
    <definedName name="_xlnm.Print_Area" localSheetId="6">'Додаток 5'!$A$1:$J$57</definedName>
    <definedName name="_xlnm.Print_Area" localSheetId="0">'Додаток1'!$A$1:$R$49</definedName>
    <definedName name="_xlnm.Print_Area" localSheetId="2">'Додаток1 скор'!$A$1:$V$54</definedName>
    <definedName name="_xlnm.Print_Area" localSheetId="3">'Додаток2 скор'!$A$1:$V$52</definedName>
    <definedName name="_xlnm.Print_Area" localSheetId="5">'Додаток5'!$A$1:$C$22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T1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прибавлені пеллеті317,56</t>
        </r>
      </text>
    </comment>
    <comment ref="T2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182,99 пеллеті перенесені в топливо
</t>
        </r>
      </text>
    </comment>
    <comment ref="V2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занести из свода 8нкп распредел повидам деятельности</t>
        </r>
      </text>
    </comment>
    <comment ref="T2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суммарно звв- доля на послугу</t>
        </r>
      </text>
    </comment>
    <comment ref="T27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суммарно админ затраты - доля на послугу</t>
        </r>
      </text>
    </comment>
    <comment ref="T1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є-єн из виробн и трансп</t>
        </r>
      </text>
    </comment>
  </commentList>
</comments>
</file>

<file path=xl/sharedStrings.xml><?xml version="1.0" encoding="utf-8"?>
<sst xmlns="http://schemas.openxmlformats.org/spreadsheetml/2006/main" count="680" uniqueCount="244">
  <si>
    <t>Без ПДВ</t>
  </si>
  <si>
    <t xml:space="preserve">№ з/п </t>
  </si>
  <si>
    <t xml:space="preserve">Найменування показників </t>
  </si>
  <si>
    <t xml:space="preserve">Сумарні та середньо-зважені показники                  </t>
  </si>
  <si>
    <t>Для потреб населення</t>
  </si>
  <si>
    <t>Для потреб бюджетних установ</t>
  </si>
  <si>
    <t xml:space="preserve">Для потреб інших споживачів </t>
  </si>
  <si>
    <t>тис. грн на рік</t>
  </si>
  <si>
    <t>грн/Гкал</t>
  </si>
  <si>
    <t>тис.грн на рік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</si>
  <si>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</si>
  <si>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</si>
  <si>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</si>
  <si>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</si>
  <si>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</si>
  <si>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</si>
  <si>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</si>
  <si>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</si>
  <si>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</si>
  <si>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</si>
  <si>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</si>
  <si>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</si>
  <si>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</si>
  <si>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</si>
  <si>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</si>
  <si>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</si>
  <si>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>прямі витрати на оплату праці з відрахув.на соц. заходи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</si>
  <si>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</si>
  <si>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</si>
  <si>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</si>
  <si>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</si>
  <si>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</si>
  <si>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</si>
  <si>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</si>
  <si>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</si>
  <si>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</si>
  <si>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витрати на оплату праці з відрахув.на.соц.заходи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</si>
  <si>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</si>
  <si>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</si>
  <si>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</si>
  <si>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</si>
  <si>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</si>
  <si>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</si>
  <si>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3.1</t>
  </si>
  <si>
    <t xml:space="preserve">витрати на оплату праці </t>
  </si>
  <si>
    <t>3.2</t>
  </si>
  <si>
    <t xml:space="preserve">відрахування на соціальні заходи </t>
  </si>
  <si>
    <t>3.3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</si>
  <si>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</si>
  <si>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</si>
  <si>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</si>
  <si>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</si>
  <si>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</si>
  <si>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</si>
  <si>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</si>
  <si>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</si>
  <si>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дивіденди </t>
  </si>
  <si>
    <t>7.3</t>
  </si>
  <si>
    <t xml:space="preserve">на розвиток виробництва (виробничі інвестиції) </t>
  </si>
  <si>
    <t>7.4</t>
  </si>
  <si>
    <t xml:space="preserve">Вартість  теплової енергії за відповідними тарифами </t>
  </si>
  <si>
    <t xml:space="preserve">Обсяг реалізації теплової енергії власним споживачам, Гкал 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</si>
  <si>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</si>
  <si>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</si>
  <si>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</si>
  <si>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</si>
  <si>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r>
      <t>Розрахунок тарифів на теплову енергію шляхом коригування узгоджених Департаментом тарифної політики у сфері теплопостачання тарифів за заявою ліцензіата                                                                              КП "Лисичанськтепломережа" (</t>
    </r>
    <r>
      <rPr>
        <b/>
        <sz val="15"/>
        <color indexed="10"/>
        <rFont val="Times New Roman"/>
        <family val="1"/>
      </rPr>
      <t>вхідний № ______________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</si>
  <si>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Одиниця виміру </t>
  </si>
  <si>
    <t xml:space="preserve">Сумарні та середньозважені показники           </t>
  </si>
  <si>
    <t xml:space="preserve">Для потреб населення                      </t>
  </si>
  <si>
    <t xml:space="preserve">Для потреб бюджетних установ </t>
  </si>
  <si>
    <t xml:space="preserve">Для потреб інших споживачів                  </t>
  </si>
  <si>
    <t xml:space="preserve">Сумарні та середньо зважені показники                  </t>
  </si>
  <si>
    <t>Для бюджетних установ</t>
  </si>
  <si>
    <t xml:space="preserve">Для  інших споживачів </t>
  </si>
  <si>
    <t>За заявою ліцензіата</t>
  </si>
  <si>
    <t>Скориговані показники</t>
  </si>
  <si>
    <t>Коефі-цієнт зміни</t>
  </si>
  <si>
    <t>раз</t>
  </si>
  <si>
    <t xml:space="preserve">тис. грн </t>
  </si>
  <si>
    <t xml:space="preserve">витрати на паливо, у т. ч.: </t>
  </si>
  <si>
    <t>1.1.1.1</t>
  </si>
  <si>
    <t>природний газ</t>
  </si>
  <si>
    <t>1.1.1.2</t>
  </si>
  <si>
    <t>інші види палива</t>
  </si>
  <si>
    <t xml:space="preserve">витрати на електроенергію </t>
  </si>
  <si>
    <t>собівартість теплової енергії власних ТЕЦ, ТЕС, КГУ, у т. ч.:</t>
  </si>
  <si>
    <t>1.1.3.1</t>
  </si>
  <si>
    <t>1.1.3.2</t>
  </si>
  <si>
    <t>витрати на покупну теплову енергію у т. ч.:</t>
  </si>
  <si>
    <t>1.1.4.1</t>
  </si>
  <si>
    <t>1.1.4.2</t>
  </si>
  <si>
    <t>1.1.5</t>
  </si>
  <si>
    <t xml:space="preserve">прямі витрати на оплату праці </t>
  </si>
  <si>
    <t>1.3.3</t>
  </si>
  <si>
    <t>1.4.3</t>
  </si>
  <si>
    <t>2.3</t>
  </si>
  <si>
    <t>Витрати на збут</t>
  </si>
  <si>
    <t>інше використання прибутку (прибуток у тарифах НКРЕ)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</si>
  <si>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</si>
  <si>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</si>
  <si>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 xml:space="preserve">Гкал </t>
  </si>
  <si>
    <t>Рівень рентабельності, %</t>
  </si>
  <si>
    <t>Діючі тарифи на теплову енергію</t>
  </si>
  <si>
    <r>
      <t>Розрахунок тарифів на виробництво теплової енергії шляхом коригування узгоджених Департаментом тарифної політики у сфері теплопостачання тарифів за заявою ліцензіата                        КП "Лисичанськтепломережа"(вх</t>
    </r>
    <r>
      <rPr>
        <b/>
        <sz val="15"/>
        <color indexed="10"/>
        <rFont val="Times New Roman"/>
        <family val="1"/>
      </rPr>
      <t>ідний №____________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</si>
  <si>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Для потреб населення                       </t>
  </si>
  <si>
    <t xml:space="preserve">резервний фонд (капітал) та дивіденди </t>
  </si>
  <si>
    <t>Сумарні та середньо зважені показники</t>
  </si>
  <si>
    <t xml:space="preserve">до постанови </t>
  </si>
  <si>
    <t>Для  бюджетних установ</t>
  </si>
  <si>
    <t>Додаток  5</t>
  </si>
  <si>
    <t>_________________№______</t>
  </si>
  <si>
    <t>Структура двоставкових тарифів на теплову енергію</t>
  </si>
  <si>
    <t xml:space="preserve">без ПДВ </t>
  </si>
  <si>
    <t>Сумарні та середньозважені показники</t>
  </si>
  <si>
    <t>Для потреб 
населення</t>
  </si>
  <si>
    <t>Для потреб  бюджетних установ</t>
  </si>
  <si>
    <t>Для потреб інших споживачів</t>
  </si>
  <si>
    <t>грн/Гкал, грн/Гкал/год</t>
  </si>
  <si>
    <t xml:space="preserve">Теплове навантаження об'єктів теплоспоживання власних споживачів, Гкал/год </t>
  </si>
  <si>
    <t xml:space="preserve">Виробництво теплової енергії </t>
  </si>
  <si>
    <t xml:space="preserve">Повна планова собівартість виробництва теплової енергії, у т. ч.: </t>
  </si>
  <si>
    <t xml:space="preserve">умовно-змінні витрати, у т. ч.: </t>
  </si>
  <si>
    <t>3.1.1</t>
  </si>
  <si>
    <t xml:space="preserve">витрати на технологічне паливо для виробництва теплової енергії котельнями </t>
  </si>
  <si>
    <t>3.1.2</t>
  </si>
  <si>
    <t xml:space="preserve">витрати на технологічну електроенергію для виробництва теплової енергії котельнями </t>
  </si>
  <si>
    <t>3.1.3</t>
  </si>
  <si>
    <t xml:space="preserve"> собівартість виробництва власних ТЕЦ, ТЕС, АЕС, когенераційних установок</t>
  </si>
  <si>
    <t>3.1.4</t>
  </si>
  <si>
    <t xml:space="preserve">покупна теплова енергія </t>
  </si>
  <si>
    <t xml:space="preserve">умовно-постійні витрати, усього - решта витрат собівартості виробництва теплової енергії </t>
  </si>
  <si>
    <t xml:space="preserve">Плановий прибуток у тарифах на виробництво теплової енергії, у т. ч.: </t>
  </si>
  <si>
    <t>4.1</t>
  </si>
  <si>
    <t xml:space="preserve">в умовно-змінній частині </t>
  </si>
  <si>
    <t>4.2</t>
  </si>
  <si>
    <t xml:space="preserve">в умовно-постійній частині </t>
  </si>
  <si>
    <t xml:space="preserve">Умовно-змінна частина двоставкового тарифу на виробництво теплової енергії, грн/Гкал, у т. ч.: </t>
  </si>
  <si>
    <t>5.1</t>
  </si>
  <si>
    <t xml:space="preserve">складова собівартості  </t>
  </si>
  <si>
    <t>5.2</t>
  </si>
  <si>
    <t xml:space="preserve">складова прибутку </t>
  </si>
  <si>
    <t>5.3</t>
  </si>
  <si>
    <t xml:space="preserve">рівень рентабельності </t>
  </si>
  <si>
    <r>
      <t>Умовно-постійна частина двоставкового тарифу на виробництво теплової енергії (</t>
    </r>
    <r>
      <rPr>
        <b/>
        <sz val="12"/>
        <rFont val="Times New Roman"/>
        <family val="1"/>
      </rPr>
      <t>місячна плата</t>
    </r>
    <r>
      <rPr>
        <b/>
        <sz val="12.5"/>
        <rFont val="Times New Roman"/>
        <family val="1"/>
      </rPr>
      <t xml:space="preserve"> на </t>
    </r>
    <r>
      <rPr>
        <b/>
        <sz val="12"/>
        <rFont val="Times New Roman"/>
        <family val="1"/>
      </rPr>
      <t>одиницю теплового навантаження</t>
    </r>
    <r>
      <rPr>
        <b/>
        <sz val="12.5"/>
        <rFont val="Times New Roman"/>
        <family val="1"/>
      </rPr>
      <t xml:space="preserve">), грн/Гкал/год: </t>
    </r>
  </si>
  <si>
    <t>6.1</t>
  </si>
  <si>
    <t xml:space="preserve">складова собівартості </t>
  </si>
  <si>
    <t>6.2</t>
  </si>
  <si>
    <t>6.3</t>
  </si>
  <si>
    <t xml:space="preserve">Транспортування теплової енергії </t>
  </si>
  <si>
    <t xml:space="preserve">Повна планова собівартість транспортування теплової енергії, умовно-постійні витрати </t>
  </si>
  <si>
    <t xml:space="preserve">Плановий прибуток у тарифах на транспортування теплової енергії </t>
  </si>
  <si>
    <t xml:space="preserve">Місячна плата за транспортування теплової енергії на одиницю теплового навантаження, грн/Гкал/год, у т.ч.: </t>
  </si>
  <si>
    <t>9.1</t>
  </si>
  <si>
    <t>9.2</t>
  </si>
  <si>
    <t>складова прибутку</t>
  </si>
  <si>
    <t>9.3</t>
  </si>
  <si>
    <t xml:space="preserve">Постачання теплової енергії </t>
  </si>
  <si>
    <t xml:space="preserve">Повна планова собівартість постачання теплової енергії, усього - умовно-постійні витрати </t>
  </si>
  <si>
    <t xml:space="preserve">Плановий прибуток у тарифах на постачання теплової енергії </t>
  </si>
  <si>
    <t xml:space="preserve">Місячна плата за постачання теплової енергії на одиницю теплового навантаження, грн/Гкал/год: </t>
  </si>
  <si>
    <t>12.1</t>
  </si>
  <si>
    <t>12.2</t>
  </si>
  <si>
    <t xml:space="preserve">складова прибутку  </t>
  </si>
  <si>
    <t xml:space="preserve">Двоставкові тарифи на теплову енергію для кінцевих споживачів </t>
  </si>
  <si>
    <t xml:space="preserve">Умовно-змінна частина двоставкового тарифу на теплову енергію,  грн/Гкал, у т. ч.: </t>
  </si>
  <si>
    <t>13.1</t>
  </si>
  <si>
    <t>13.2</t>
  </si>
  <si>
    <t>13.3</t>
  </si>
  <si>
    <t xml:space="preserve">Умовно-постійна частина двоставкового тарифу на теплову енергію ( місячна плата на одиницю теплового навантаження), грн/Гкал/год, у т. ч.: </t>
  </si>
  <si>
    <t>14.1</t>
  </si>
  <si>
    <t>14.2</t>
  </si>
  <si>
    <t>14.3</t>
  </si>
  <si>
    <t>Директор Департаменту тарифної політики у сфері теплопостачання</t>
  </si>
  <si>
    <t xml:space="preserve"> М.Расковський</t>
  </si>
  <si>
    <t xml:space="preserve">                               Додаток 5</t>
  </si>
  <si>
    <t xml:space="preserve">                               до постанови</t>
  </si>
  <si>
    <t xml:space="preserve">                               ___________№_________</t>
  </si>
  <si>
    <t xml:space="preserve">Джерела фінансування Інвестиційної програми </t>
  </si>
  <si>
    <t>Джерела фінансування</t>
  </si>
  <si>
    <t>сума,  грн</t>
  </si>
  <si>
    <t>Усього з урахуванням ПДВ</t>
  </si>
  <si>
    <t>Усього без урахування ПДВ, у тому числі:</t>
  </si>
  <si>
    <t>амортизаційні відрахування</t>
  </si>
  <si>
    <t>інвестиційна складова прибутку на розвиток виробництва (капітальні інвестиції на будівництво, реконструкцію, модернізацію об`ектів теплопостачання)</t>
  </si>
  <si>
    <t>інші джерела</t>
  </si>
  <si>
    <t xml:space="preserve">       </t>
  </si>
  <si>
    <t>Заступник директора
Департаменту тарифної політики
у сфері теплопостачання                                                             Є. Магльованний</t>
  </si>
  <si>
    <t xml:space="preserve">Директор Департаменту регулювання відносин,
інвестиційної політики та технічного розвитку
у сфері теплопостачання                                                                       С. Кремена </t>
  </si>
  <si>
    <t>від_________№______________</t>
  </si>
  <si>
    <t xml:space="preserve">Структура двоставкових тарифів на теплову енергію   </t>
  </si>
  <si>
    <t xml:space="preserve">N з/п </t>
  </si>
  <si>
    <t>Для інших споживачів</t>
  </si>
  <si>
    <t xml:space="preserve">умовно- змінні витрати, у т. ч.: </t>
  </si>
  <si>
    <t>покупна теплова енергія та собівартість виробництва власних ТЕЦ, ТЕС, АЕС, когенераційних установок</t>
  </si>
  <si>
    <t xml:space="preserve">умовно- постійні витрати, усього - решта витрат собівартості виробництва теплової енергії </t>
  </si>
  <si>
    <t xml:space="preserve">Теплове навантаження об'єктів теплоспоживання власних споживачів та споживачів інших власників теплової енергії, яка транспортується мережами ліцензіата </t>
  </si>
  <si>
    <t xml:space="preserve">Повна планова собівартість транспортування теплової енергії власним споживачам, - умовно-постійні витрати </t>
  </si>
  <si>
    <t>12.3</t>
  </si>
  <si>
    <t>М. Расковський</t>
  </si>
  <si>
    <t>фактично</t>
  </si>
  <si>
    <t>тис. грн</t>
  </si>
  <si>
    <t>затверджено в тарифі на рік</t>
  </si>
  <si>
    <t>№ з/п</t>
  </si>
  <si>
    <t>Найменування</t>
  </si>
  <si>
    <t>Од.виміру</t>
  </si>
  <si>
    <t>Знос основних засобів</t>
  </si>
  <si>
    <t>грн</t>
  </si>
  <si>
    <t xml:space="preserve">    «»</t>
  </si>
  <si>
    <t>Витрати на охорону праці-медогляд, мило,інше</t>
  </si>
  <si>
    <t>Витрати на електроенергію</t>
  </si>
  <si>
    <t>Вода та водовідведення</t>
  </si>
  <si>
    <t>Витрати на паливо</t>
  </si>
  <si>
    <t>Витрати на оплату праці та розрахунки по листам непрацезд</t>
  </si>
  <si>
    <t>Відрахування ЄСВ</t>
  </si>
  <si>
    <t>Дані Гідрометцентру про температуру</t>
  </si>
  <si>
    <t>Послуги зв*язку</t>
  </si>
  <si>
    <t>Оперативна оренда майна</t>
  </si>
  <si>
    <t>Витрати по експл.приладів обліку</t>
  </si>
  <si>
    <t>Комісійний збір банку з прийому платежів</t>
  </si>
  <si>
    <t>Обслуговування оргтехніки, картріджи</t>
  </si>
  <si>
    <t>Обслуговування РРО</t>
  </si>
  <si>
    <t>ВСЬОГО:</t>
  </si>
  <si>
    <t>Частина загальновиробничих та адміністративних витрат, що розподілені на іншу діяльність</t>
  </si>
  <si>
    <t>РАЗОМ:</t>
  </si>
  <si>
    <t>на послугу</t>
  </si>
  <si>
    <t xml:space="preserve">Виконання фінансового плану витрат  на теплову енергію </t>
  </si>
  <si>
    <t>Доход від реалізації теплової енергії споживачам</t>
  </si>
  <si>
    <t>проверка</t>
  </si>
  <si>
    <t>Заст.директора з економічних питань</t>
  </si>
  <si>
    <t>О.А.Сібірцева</t>
  </si>
  <si>
    <t>тис.грн.,без ПДВ</t>
  </si>
  <si>
    <t>тис.грн.без ПДВ</t>
  </si>
  <si>
    <t>Витрати на матеріали</t>
  </si>
  <si>
    <t xml:space="preserve">Директор </t>
  </si>
  <si>
    <t>А.В.Панаіт</t>
  </si>
  <si>
    <t>Інформ послуги, інші послуги</t>
  </si>
  <si>
    <t xml:space="preserve">           Директор                                                              А.В.Панаіт</t>
  </si>
  <si>
    <t>2019р.план</t>
  </si>
  <si>
    <t>Виконання плану витрат на надання послуги з опалення та ГВП по КП "Лисичанськтепломережа" за 6 міс.  2019 р.</t>
  </si>
  <si>
    <t>6 мес 2019 р.-факт</t>
  </si>
  <si>
    <t>Охорона праці</t>
  </si>
  <si>
    <t>Відшкод.ком. витрат по оренді</t>
  </si>
  <si>
    <t>по КП "Лисичанськтепломережа" за 6 месяці  2019р.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</si>
</sst>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_г_р_н_._-;\-* #,##0.00\ _г_р_н_._-;_-* \-??\ _г_р_н_._-;_-@_-"/>
    <numFmt numFmtId="175" formatCode="_(* #,##0.00_);_(* \(#,##0.00\);_(* \-??_);_(@_)"/>
    <numFmt numFmtId="176" formatCode="dd/mm/yy"/>
    <numFmt numFmtId="177" formatCode="0.0000"/>
    <numFmt numFmtId="178" formatCode="0.000"/>
    <numFmt numFmtId="179" formatCode="#,##0.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b/>
      <sz val="10"/>
      <color indexed="8"/>
      <name val="Calibri"/>
      <family val="2"/>
    </font>
    <font>
      <sz val="16"/>
      <name val="Times New Roman"/>
      <family val="1"/>
    </font>
    <font>
      <sz val="11"/>
      <name val="Arial"/>
      <family val="2"/>
    </font>
    <font>
      <sz val="10.5"/>
      <name val="Arial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3"/>
      <name val="Times New Roman"/>
      <family val="1"/>
    </font>
    <font>
      <b/>
      <sz val="10.5"/>
      <name val="Arial"/>
      <family val="2"/>
    </font>
    <font>
      <b/>
      <sz val="11.5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57" fillId="26" borderId="0" applyNumberFormat="0" applyBorder="0" applyAlignment="0" applyProtection="0"/>
    <xf numFmtId="0" fontId="2" fillId="17" borderId="0" applyNumberFormat="0" applyBorder="0" applyAlignment="0" applyProtection="0"/>
    <xf numFmtId="0" fontId="57" fillId="27" borderId="0" applyNumberFormat="0" applyBorder="0" applyAlignment="0" applyProtection="0"/>
    <xf numFmtId="0" fontId="2" fillId="19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57" fillId="30" borderId="0" applyNumberFormat="0" applyBorder="0" applyAlignment="0" applyProtection="0"/>
    <xf numFmtId="0" fontId="2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174" fontId="0" fillId="0" borderId="0" applyFill="0" applyBorder="0" applyAlignment="0" applyProtection="0"/>
    <xf numFmtId="0" fontId="57" fillId="34" borderId="0" applyNumberFormat="0" applyBorder="0" applyAlignment="0" applyProtection="0"/>
    <xf numFmtId="0" fontId="2" fillId="35" borderId="0" applyNumberFormat="0" applyBorder="0" applyAlignment="0" applyProtection="0"/>
    <xf numFmtId="0" fontId="57" fillId="36" borderId="0" applyNumberFormat="0" applyBorder="0" applyAlignment="0" applyProtection="0"/>
    <xf numFmtId="0" fontId="2" fillId="37" borderId="0" applyNumberFormat="0" applyBorder="0" applyAlignment="0" applyProtection="0"/>
    <xf numFmtId="0" fontId="57" fillId="38" borderId="0" applyNumberFormat="0" applyBorder="0" applyAlignment="0" applyProtection="0"/>
    <xf numFmtId="0" fontId="2" fillId="39" borderId="0" applyNumberFormat="0" applyBorder="0" applyAlignment="0" applyProtection="0"/>
    <xf numFmtId="0" fontId="57" fillId="40" borderId="0" applyNumberFormat="0" applyBorder="0" applyAlignment="0" applyProtection="0"/>
    <xf numFmtId="0" fontId="2" fillId="29" borderId="0" applyNumberFormat="0" applyBorder="0" applyAlignment="0" applyProtection="0"/>
    <xf numFmtId="0" fontId="57" fillId="41" borderId="0" applyNumberFormat="0" applyBorder="0" applyAlignment="0" applyProtection="0"/>
    <xf numFmtId="0" fontId="2" fillId="31" borderId="0" applyNumberFormat="0" applyBorder="0" applyAlignment="0" applyProtection="0"/>
    <xf numFmtId="0" fontId="57" fillId="42" borderId="0" applyNumberFormat="0" applyBorder="0" applyAlignment="0" applyProtection="0"/>
    <xf numFmtId="0" fontId="2" fillId="43" borderId="0" applyNumberFormat="0" applyBorder="0" applyAlignment="0" applyProtection="0"/>
    <xf numFmtId="0" fontId="58" fillId="44" borderId="1" applyNumberFormat="0" applyAlignment="0" applyProtection="0"/>
    <xf numFmtId="0" fontId="3" fillId="13" borderId="2" applyNumberFormat="0" applyAlignment="0" applyProtection="0"/>
    <xf numFmtId="0" fontId="59" fillId="45" borderId="3" applyNumberFormat="0" applyAlignment="0" applyProtection="0"/>
    <xf numFmtId="0" fontId="4" fillId="46" borderId="4" applyNumberFormat="0" applyAlignment="0" applyProtection="0"/>
    <xf numFmtId="0" fontId="60" fillId="45" borderId="1" applyNumberFormat="0" applyAlignment="0" applyProtection="0"/>
    <xf numFmtId="0" fontId="5" fillId="46" borderId="2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1" fillId="0" borderId="5" applyNumberFormat="0" applyFill="0" applyAlignment="0" applyProtection="0"/>
    <xf numFmtId="0" fontId="6" fillId="0" borderId="6" applyNumberFormat="0" applyFill="0" applyAlignment="0" applyProtection="0"/>
    <xf numFmtId="0" fontId="62" fillId="0" borderId="7" applyNumberFormat="0" applyFill="0" applyAlignment="0" applyProtection="0"/>
    <xf numFmtId="0" fontId="7" fillId="0" borderId="8" applyNumberFormat="0" applyFill="0" applyAlignment="0" applyProtection="0"/>
    <xf numFmtId="0" fontId="63" fillId="0" borderId="9" applyNumberFormat="0" applyFill="0" applyAlignment="0" applyProtection="0"/>
    <xf numFmtId="0" fontId="8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9" fillId="0" borderId="12" applyNumberFormat="0" applyFill="0" applyAlignment="0" applyProtection="0"/>
    <xf numFmtId="0" fontId="65" fillId="47" borderId="13" applyNumberFormat="0" applyAlignment="0" applyProtection="0"/>
    <xf numFmtId="0" fontId="10" fillId="48" borderId="14" applyNumberFormat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51" borderId="0" applyNumberFormat="0" applyBorder="0" applyAlignment="0" applyProtection="0"/>
    <xf numFmtId="0" fontId="1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0" fontId="70" fillId="0" borderId="17" applyNumberFormat="0" applyFill="0" applyAlignment="0" applyProtection="0"/>
    <xf numFmtId="0" fontId="1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72" fillId="54" borderId="0" applyNumberFormat="0" applyBorder="0" applyAlignment="0" applyProtection="0"/>
    <xf numFmtId="0" fontId="18" fillId="7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wrapText="1"/>
    </xf>
    <xf numFmtId="0" fontId="32" fillId="0" borderId="19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2" fontId="30" fillId="0" borderId="19" xfId="0" applyNumberFormat="1" applyFont="1" applyFill="1" applyBorder="1" applyAlignment="1">
      <alignment horizontal="center" vertical="center" wrapText="1"/>
    </xf>
    <xf numFmtId="2" fontId="30" fillId="0" borderId="19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2" fontId="32" fillId="0" borderId="19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28" fillId="0" borderId="1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55" borderId="0" xfId="0" applyFill="1" applyAlignment="1">
      <alignment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8" fillId="0" borderId="2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wrapText="1"/>
    </xf>
    <xf numFmtId="0" fontId="28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177" fontId="31" fillId="0" borderId="19" xfId="0" applyNumberFormat="1" applyFont="1" applyFill="1" applyBorder="1" applyAlignment="1">
      <alignment horizontal="center" vertical="center" wrapText="1"/>
    </xf>
    <xf numFmtId="178" fontId="31" fillId="0" borderId="19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/>
    </xf>
    <xf numFmtId="178" fontId="29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177" fontId="33" fillId="0" borderId="19" xfId="0" applyNumberFormat="1" applyFont="1" applyFill="1" applyBorder="1" applyAlignment="1">
      <alignment horizontal="center" vertical="center" wrapText="1"/>
    </xf>
    <xf numFmtId="178" fontId="33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/>
    </xf>
    <xf numFmtId="178" fontId="22" fillId="0" borderId="19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178" fontId="33" fillId="0" borderId="22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vertical="center" wrapText="1"/>
    </xf>
    <xf numFmtId="178" fontId="33" fillId="55" borderId="22" xfId="0" applyNumberFormat="1" applyFont="1" applyFill="1" applyBorder="1" applyAlignment="1">
      <alignment horizontal="center" vertical="center" wrapText="1"/>
    </xf>
    <xf numFmtId="2" fontId="19" fillId="55" borderId="19" xfId="0" applyNumberFormat="1" applyFont="1" applyFill="1" applyBorder="1" applyAlignment="1">
      <alignment horizontal="center" vertical="center"/>
    </xf>
    <xf numFmtId="178" fontId="22" fillId="55" borderId="19" xfId="0" applyNumberFormat="1" applyFont="1" applyFill="1" applyBorder="1" applyAlignment="1">
      <alignment horizontal="center" vertical="center" wrapText="1"/>
    </xf>
    <xf numFmtId="2" fontId="22" fillId="55" borderId="19" xfId="0" applyNumberFormat="1" applyFont="1" applyFill="1" applyBorder="1" applyAlignment="1">
      <alignment horizontal="center" vertical="center" wrapText="1"/>
    </xf>
    <xf numFmtId="2" fontId="29" fillId="55" borderId="0" xfId="0" applyNumberFormat="1" applyFont="1" applyFill="1" applyAlignment="1">
      <alignment/>
    </xf>
    <xf numFmtId="0" fontId="0" fillId="55" borderId="0" xfId="0" applyFont="1" applyFill="1" applyAlignment="1">
      <alignment wrapText="1"/>
    </xf>
    <xf numFmtId="0" fontId="0" fillId="55" borderId="0" xfId="0" applyFont="1" applyFill="1" applyAlignment="1">
      <alignment/>
    </xf>
    <xf numFmtId="178" fontId="31" fillId="0" borderId="22" xfId="0" applyNumberFormat="1" applyFont="1" applyFill="1" applyBorder="1" applyAlignment="1">
      <alignment horizontal="center" vertical="center" wrapText="1"/>
    </xf>
    <xf numFmtId="2" fontId="31" fillId="0" borderId="22" xfId="0" applyNumberFormat="1" applyFont="1" applyFill="1" applyBorder="1" applyAlignment="1">
      <alignment horizontal="center" vertical="center" wrapText="1"/>
    </xf>
    <xf numFmtId="2" fontId="31" fillId="0" borderId="22" xfId="0" applyNumberFormat="1" applyFont="1" applyFill="1" applyBorder="1" applyAlignment="1">
      <alignment vertical="center" wrapText="1"/>
    </xf>
    <xf numFmtId="0" fontId="39" fillId="50" borderId="23" xfId="104" applyFont="1" applyFill="1" applyBorder="1" applyAlignment="1" applyProtection="1">
      <alignment horizontal="center" vertical="center" wrapText="1"/>
      <protection locked="0"/>
    </xf>
    <xf numFmtId="0" fontId="39" fillId="50" borderId="23" xfId="105" applyFont="1" applyFill="1" applyBorder="1" applyAlignment="1" applyProtection="1">
      <alignment horizontal="center" vertical="center" wrapText="1"/>
      <protection locked="0"/>
    </xf>
    <xf numFmtId="0" fontId="39" fillId="50" borderId="23" xfId="106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19" xfId="0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wrapText="1"/>
    </xf>
    <xf numFmtId="2" fontId="31" fillId="55" borderId="19" xfId="0" applyNumberFormat="1" applyFont="1" applyFill="1" applyBorder="1" applyAlignment="1">
      <alignment horizontal="center" vertical="center" wrapText="1"/>
    </xf>
    <xf numFmtId="2" fontId="33" fillId="55" borderId="19" xfId="0" applyNumberFormat="1" applyFont="1" applyFill="1" applyBorder="1" applyAlignment="1">
      <alignment horizontal="center" vertical="center" wrapText="1"/>
    </xf>
    <xf numFmtId="2" fontId="33" fillId="23" borderId="19" xfId="0" applyNumberFormat="1" applyFont="1" applyFill="1" applyBorder="1" applyAlignment="1">
      <alignment horizontal="center" vertical="center" wrapText="1"/>
    </xf>
    <xf numFmtId="177" fontId="33" fillId="31" borderId="19" xfId="0" applyNumberFormat="1" applyFont="1" applyFill="1" applyBorder="1" applyAlignment="1">
      <alignment horizontal="center" vertical="center" wrapText="1"/>
    </xf>
    <xf numFmtId="2" fontId="31" fillId="23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wrapText="1"/>
    </xf>
    <xf numFmtId="49" fontId="33" fillId="0" borderId="24" xfId="0" applyNumberFormat="1" applyFont="1" applyFill="1" applyBorder="1" applyAlignment="1">
      <alignment horizontal="center" wrapText="1"/>
    </xf>
    <xf numFmtId="0" fontId="33" fillId="0" borderId="24" xfId="0" applyFont="1" applyFill="1" applyBorder="1" applyAlignment="1">
      <alignment wrapText="1"/>
    </xf>
    <xf numFmtId="49" fontId="33" fillId="0" borderId="19" xfId="0" applyNumberFormat="1" applyFont="1" applyFill="1" applyBorder="1" applyAlignment="1">
      <alignment horizontal="center" wrapText="1"/>
    </xf>
    <xf numFmtId="0" fontId="33" fillId="0" borderId="19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0" xfId="90" applyFont="1" applyFill="1">
      <alignment/>
      <protection/>
    </xf>
    <xf numFmtId="0" fontId="33" fillId="0" borderId="0" xfId="90" applyFont="1" applyFill="1">
      <alignment/>
      <protection/>
    </xf>
    <xf numFmtId="0" fontId="23" fillId="0" borderId="0" xfId="90" applyFont="1" applyFill="1" applyBorder="1" applyAlignment="1">
      <alignment vertical="center"/>
      <protection/>
    </xf>
    <xf numFmtId="0" fontId="34" fillId="0" borderId="0" xfId="90" applyFont="1" applyFill="1" applyBorder="1" applyAlignment="1">
      <alignment vertical="center"/>
      <protection/>
    </xf>
    <xf numFmtId="0" fontId="41" fillId="0" borderId="0" xfId="90" applyFont="1" applyFill="1">
      <alignment/>
      <protection/>
    </xf>
    <xf numFmtId="0" fontId="23" fillId="0" borderId="0" xfId="90" applyFont="1" applyFill="1" applyAlignment="1">
      <alignment/>
      <protection/>
    </xf>
    <xf numFmtId="0" fontId="34" fillId="0" borderId="0" xfId="90" applyFont="1" applyFill="1" applyAlignment="1">
      <alignment/>
      <protection/>
    </xf>
    <xf numFmtId="0" fontId="33" fillId="0" borderId="0" xfId="90" applyFont="1" applyFill="1">
      <alignment/>
      <protection/>
    </xf>
    <xf numFmtId="0" fontId="33" fillId="0" borderId="0" xfId="90" applyFont="1" applyFill="1" applyBorder="1" applyAlignment="1">
      <alignment horizontal="center"/>
      <protection/>
    </xf>
    <xf numFmtId="0" fontId="28" fillId="0" borderId="0" xfId="90" applyFont="1" applyFill="1" applyAlignment="1">
      <alignment horizontal="right"/>
      <protection/>
    </xf>
    <xf numFmtId="0" fontId="22" fillId="0" borderId="19" xfId="90" applyFont="1" applyFill="1" applyBorder="1" applyAlignment="1">
      <alignment horizontal="center" vertical="center" wrapText="1"/>
      <protection/>
    </xf>
    <xf numFmtId="0" fontId="33" fillId="0" borderId="25" xfId="90" applyFont="1" applyFill="1" applyBorder="1" applyAlignment="1">
      <alignment horizontal="center" wrapText="1"/>
      <protection/>
    </xf>
    <xf numFmtId="0" fontId="33" fillId="0" borderId="26" xfId="90" applyFont="1" applyFill="1" applyBorder="1" applyAlignment="1">
      <alignment horizontal="center" wrapText="1"/>
      <protection/>
    </xf>
    <xf numFmtId="0" fontId="42" fillId="0" borderId="26" xfId="90" applyFont="1" applyFill="1" applyBorder="1" applyAlignment="1">
      <alignment horizontal="center"/>
      <protection/>
    </xf>
    <xf numFmtId="1" fontId="20" fillId="0" borderId="19" xfId="90" applyNumberFormat="1" applyFont="1" applyFill="1" applyBorder="1" applyAlignment="1">
      <alignment horizontal="center" wrapText="1"/>
      <protection/>
    </xf>
    <xf numFmtId="2" fontId="43" fillId="0" borderId="19" xfId="90" applyNumberFormat="1" applyFont="1" applyFill="1" applyBorder="1" applyAlignment="1">
      <alignment wrapText="1"/>
      <protection/>
    </xf>
    <xf numFmtId="2" fontId="31" fillId="0" borderId="19" xfId="90" applyNumberFormat="1" applyFont="1" applyFill="1" applyBorder="1" applyAlignment="1">
      <alignment horizontal="center" vertical="center" wrapText="1"/>
      <protection/>
    </xf>
    <xf numFmtId="2" fontId="42" fillId="0" borderId="19" xfId="90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" fontId="28" fillId="0" borderId="19" xfId="90" applyNumberFormat="1" applyFont="1" applyFill="1" applyBorder="1" applyAlignment="1">
      <alignment horizontal="center" wrapText="1"/>
      <protection/>
    </xf>
    <xf numFmtId="2" fontId="44" fillId="0" borderId="19" xfId="90" applyNumberFormat="1" applyFont="1" applyFill="1" applyBorder="1" applyAlignment="1">
      <alignment wrapText="1"/>
      <protection/>
    </xf>
    <xf numFmtId="2" fontId="28" fillId="0" borderId="19" xfId="90" applyNumberFormat="1" applyFont="1" applyFill="1" applyBorder="1" applyAlignment="1">
      <alignment horizontal="center" wrapText="1"/>
      <protection/>
    </xf>
    <xf numFmtId="2" fontId="31" fillId="0" borderId="19" xfId="90" applyNumberFormat="1" applyFont="1" applyFill="1" applyBorder="1" applyAlignment="1">
      <alignment horizontal="center" wrapText="1"/>
      <protection/>
    </xf>
    <xf numFmtId="2" fontId="20" fillId="0" borderId="19" xfId="90" applyNumberFormat="1" applyFont="1" applyFill="1" applyBorder="1" applyAlignment="1">
      <alignment horizontal="center" wrapText="1"/>
      <protection/>
    </xf>
    <xf numFmtId="2" fontId="33" fillId="0" borderId="19" xfId="90" applyNumberFormat="1" applyFont="1" applyFill="1" applyBorder="1" applyAlignment="1">
      <alignment horizontal="center" vertical="center" wrapText="1"/>
      <protection/>
    </xf>
    <xf numFmtId="2" fontId="33" fillId="0" borderId="19" xfId="90" applyNumberFormat="1" applyFont="1" applyFill="1" applyBorder="1" applyAlignment="1">
      <alignment horizontal="right" wrapText="1"/>
      <protection/>
    </xf>
    <xf numFmtId="2" fontId="44" fillId="0" borderId="19" xfId="90" applyNumberFormat="1" applyFont="1" applyFill="1" applyBorder="1" applyAlignment="1">
      <alignment vertical="center" wrapText="1"/>
      <protection/>
    </xf>
    <xf numFmtId="2" fontId="45" fillId="0" borderId="19" xfId="90" applyNumberFormat="1" applyFont="1" applyFill="1" applyBorder="1" applyAlignment="1">
      <alignment horizontal="center" vertical="center" wrapText="1"/>
      <protection/>
    </xf>
    <xf numFmtId="2" fontId="46" fillId="0" borderId="19" xfId="90" applyNumberFormat="1" applyFont="1" applyFill="1" applyBorder="1" applyAlignment="1">
      <alignment horizontal="center" vertical="center" wrapText="1"/>
      <protection/>
    </xf>
    <xf numFmtId="2" fontId="33" fillId="0" borderId="19" xfId="90" applyNumberFormat="1" applyFont="1" applyFill="1" applyBorder="1" applyAlignment="1">
      <alignment horizontal="center" wrapText="1"/>
      <protection/>
    </xf>
    <xf numFmtId="2" fontId="33" fillId="0" borderId="19" xfId="90" applyNumberFormat="1" applyFont="1" applyFill="1" applyBorder="1" applyAlignment="1">
      <alignment wrapText="1"/>
      <protection/>
    </xf>
    <xf numFmtId="2" fontId="46" fillId="0" borderId="19" xfId="90" applyNumberFormat="1" applyFont="1" applyFill="1" applyBorder="1" applyAlignment="1">
      <alignment horizontal="center" wrapText="1"/>
      <protection/>
    </xf>
    <xf numFmtId="2" fontId="42" fillId="0" borderId="19" xfId="90" applyNumberFormat="1" applyFont="1" applyFill="1" applyBorder="1" applyAlignment="1">
      <alignment horizontal="center"/>
      <protection/>
    </xf>
    <xf numFmtId="2" fontId="42" fillId="0" borderId="19" xfId="90" applyNumberFormat="1" applyFont="1" applyFill="1" applyBorder="1">
      <alignment/>
      <protection/>
    </xf>
    <xf numFmtId="49" fontId="33" fillId="0" borderId="24" xfId="90" applyNumberFormat="1" applyFont="1" applyFill="1" applyBorder="1" applyAlignment="1">
      <alignment horizontal="center" wrapText="1"/>
      <protection/>
    </xf>
    <xf numFmtId="0" fontId="33" fillId="0" borderId="24" xfId="90" applyFont="1" applyFill="1" applyBorder="1" applyAlignment="1">
      <alignment wrapText="1"/>
      <protection/>
    </xf>
    <xf numFmtId="178" fontId="33" fillId="0" borderId="24" xfId="90" applyNumberFormat="1" applyFont="1" applyFill="1" applyBorder="1" applyAlignment="1">
      <alignment horizontal="right" wrapText="1"/>
      <protection/>
    </xf>
    <xf numFmtId="0" fontId="42" fillId="0" borderId="0" xfId="90" applyFont="1" applyFill="1" applyBorder="1">
      <alignment/>
      <protection/>
    </xf>
    <xf numFmtId="0" fontId="27" fillId="0" borderId="0" xfId="90" applyFont="1" applyFill="1">
      <alignment/>
      <protection/>
    </xf>
    <xf numFmtId="0" fontId="34" fillId="0" borderId="0" xfId="90" applyFont="1" applyFill="1">
      <alignment/>
      <protection/>
    </xf>
    <xf numFmtId="0" fontId="0" fillId="0" borderId="0" xfId="91">
      <alignment/>
      <protection/>
    </xf>
    <xf numFmtId="0" fontId="20" fillId="0" borderId="0" xfId="91" applyFont="1" applyFill="1" applyBorder="1" applyAlignment="1">
      <alignment vertical="center"/>
      <protection/>
    </xf>
    <xf numFmtId="0" fontId="22" fillId="0" borderId="0" xfId="91" applyFont="1" applyFill="1" applyBorder="1" applyAlignment="1">
      <alignment vertical="center"/>
      <protection/>
    </xf>
    <xf numFmtId="0" fontId="19" fillId="0" borderId="0" xfId="91" applyFont="1" applyFill="1">
      <alignment/>
      <protection/>
    </xf>
    <xf numFmtId="0" fontId="20" fillId="0" borderId="0" xfId="91" applyFont="1" applyFill="1" applyBorder="1" applyAlignment="1">
      <alignment horizontal="right" vertical="center"/>
      <protection/>
    </xf>
    <xf numFmtId="0" fontId="20" fillId="0" borderId="0" xfId="91" applyFont="1" applyFill="1" applyAlignment="1">
      <alignment wrapText="1"/>
      <protection/>
    </xf>
    <xf numFmtId="0" fontId="19" fillId="0" borderId="0" xfId="91" applyFont="1" applyFill="1" applyAlignment="1">
      <alignment wrapText="1"/>
      <protection/>
    </xf>
    <xf numFmtId="0" fontId="20" fillId="0" borderId="0" xfId="91" applyFont="1" applyFill="1" applyAlignment="1">
      <alignment/>
      <protection/>
    </xf>
    <xf numFmtId="0" fontId="19" fillId="0" borderId="0" xfId="91" applyFont="1" applyFill="1" applyAlignment="1">
      <alignment/>
      <protection/>
    </xf>
    <xf numFmtId="0" fontId="20" fillId="0" borderId="19" xfId="91" applyFont="1" applyBorder="1" applyAlignment="1">
      <alignment horizontal="center" vertical="center" wrapText="1"/>
      <protection/>
    </xf>
    <xf numFmtId="0" fontId="20" fillId="0" borderId="19" xfId="91" applyFont="1" applyBorder="1" applyAlignment="1">
      <alignment horizontal="left" vertical="center" wrapText="1"/>
      <protection/>
    </xf>
    <xf numFmtId="3" fontId="20" fillId="0" borderId="19" xfId="91" applyNumberFormat="1" applyFont="1" applyBorder="1" applyAlignment="1">
      <alignment horizontal="center" vertical="center" wrapText="1"/>
      <protection/>
    </xf>
    <xf numFmtId="0" fontId="33" fillId="0" borderId="0" xfId="91" applyFont="1" applyFill="1" applyBorder="1" applyAlignment="1">
      <alignment wrapText="1"/>
      <protection/>
    </xf>
    <xf numFmtId="0" fontId="47" fillId="0" borderId="0" xfId="91" applyFont="1" applyAlignment="1">
      <alignment/>
      <protection/>
    </xf>
    <xf numFmtId="0" fontId="26" fillId="0" borderId="0" xfId="0" applyFont="1" applyFill="1" applyBorder="1" applyAlignment="1">
      <alignment/>
    </xf>
    <xf numFmtId="0" fontId="48" fillId="0" borderId="0" xfId="91" applyFont="1" applyFill="1" applyAlignment="1">
      <alignment horizontal="left"/>
      <protection/>
    </xf>
    <xf numFmtId="2" fontId="19" fillId="56" borderId="0" xfId="91" applyNumberFormat="1" applyFont="1" applyFill="1" applyAlignment="1">
      <alignment horizontal="right"/>
      <protection/>
    </xf>
    <xf numFmtId="0" fontId="49" fillId="56" borderId="0" xfId="91" applyFont="1" applyFill="1">
      <alignment/>
      <protection/>
    </xf>
    <xf numFmtId="0" fontId="19" fillId="56" borderId="0" xfId="91" applyFont="1" applyFill="1">
      <alignment/>
      <protection/>
    </xf>
    <xf numFmtId="0" fontId="47" fillId="0" borderId="0" xfId="91" applyFont="1" applyAlignment="1">
      <alignment wrapText="1"/>
      <protection/>
    </xf>
    <xf numFmtId="0" fontId="0" fillId="0" borderId="0" xfId="91" applyFill="1">
      <alignment/>
      <protection/>
    </xf>
    <xf numFmtId="0" fontId="42" fillId="0" borderId="0" xfId="0" applyFont="1" applyFill="1" applyAlignment="1">
      <alignment/>
    </xf>
    <xf numFmtId="0" fontId="42" fillId="56" borderId="0" xfId="0" applyFont="1" applyFill="1" applyAlignment="1">
      <alignment/>
    </xf>
    <xf numFmtId="0" fontId="33" fillId="56" borderId="0" xfId="0" applyFont="1" applyFill="1" applyAlignment="1">
      <alignment/>
    </xf>
    <xf numFmtId="0" fontId="23" fillId="56" borderId="0" xfId="0" applyFont="1" applyFill="1" applyBorder="1" applyAlignment="1">
      <alignment vertical="center"/>
    </xf>
    <xf numFmtId="0" fontId="34" fillId="56" borderId="0" xfId="0" applyFont="1" applyFill="1" applyBorder="1" applyAlignment="1">
      <alignment vertical="center"/>
    </xf>
    <xf numFmtId="0" fontId="41" fillId="56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56" borderId="0" xfId="0" applyFont="1" applyFill="1" applyBorder="1" applyAlignment="1">
      <alignment horizontal="center"/>
    </xf>
    <xf numFmtId="0" fontId="28" fillId="56" borderId="0" xfId="0" applyFont="1" applyFill="1" applyAlignment="1">
      <alignment horizontal="right"/>
    </xf>
    <xf numFmtId="0" fontId="22" fillId="0" borderId="1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wrapText="1"/>
    </xf>
    <xf numFmtId="0" fontId="33" fillId="0" borderId="26" xfId="0" applyFont="1" applyFill="1" applyBorder="1" applyAlignment="1">
      <alignment horizontal="center" wrapText="1"/>
    </xf>
    <xf numFmtId="0" fontId="33" fillId="56" borderId="26" xfId="0" applyFont="1" applyFill="1" applyBorder="1" applyAlignment="1">
      <alignment horizontal="center" wrapText="1"/>
    </xf>
    <xf numFmtId="0" fontId="42" fillId="56" borderId="2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43" fillId="0" borderId="19" xfId="0" applyFont="1" applyFill="1" applyBorder="1" applyAlignment="1">
      <alignment wrapText="1"/>
    </xf>
    <xf numFmtId="2" fontId="31" fillId="3" borderId="19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1" fontId="33" fillId="0" borderId="19" xfId="0" applyNumberFormat="1" applyFont="1" applyFill="1" applyBorder="1" applyAlignment="1">
      <alignment horizontal="center" vertical="center" wrapText="1"/>
    </xf>
    <xf numFmtId="180" fontId="31" fillId="3" borderId="19" xfId="0" applyNumberFormat="1" applyFont="1" applyFill="1" applyBorder="1" applyAlignment="1">
      <alignment horizontal="center" vertical="center" wrapText="1"/>
    </xf>
    <xf numFmtId="180" fontId="31" fillId="0" borderId="19" xfId="0" applyNumberFormat="1" applyFont="1" applyFill="1" applyBorder="1" applyAlignment="1">
      <alignment horizontal="center" vertical="center" wrapText="1"/>
    </xf>
    <xf numFmtId="180" fontId="33" fillId="0" borderId="19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wrapText="1"/>
    </xf>
    <xf numFmtId="2" fontId="44" fillId="0" borderId="19" xfId="0" applyNumberFormat="1" applyFont="1" applyFill="1" applyBorder="1" applyAlignment="1">
      <alignment wrapText="1"/>
    </xf>
    <xf numFmtId="0" fontId="44" fillId="0" borderId="19" xfId="0" applyFont="1" applyFill="1" applyBorder="1" applyAlignment="1">
      <alignment wrapText="1"/>
    </xf>
    <xf numFmtId="178" fontId="31" fillId="3" borderId="1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2" fontId="48" fillId="0" borderId="0" xfId="0" applyNumberFormat="1" applyFont="1" applyFill="1" applyAlignment="1">
      <alignment/>
    </xf>
    <xf numFmtId="178" fontId="31" fillId="3" borderId="19" xfId="0" applyNumberFormat="1" applyFont="1" applyFill="1" applyBorder="1" applyAlignment="1">
      <alignment horizontal="right" wrapText="1"/>
    </xf>
    <xf numFmtId="2" fontId="43" fillId="0" borderId="19" xfId="0" applyNumberFormat="1" applyFont="1" applyFill="1" applyBorder="1" applyAlignment="1">
      <alignment wrapText="1"/>
    </xf>
    <xf numFmtId="2" fontId="33" fillId="3" borderId="19" xfId="0" applyNumberFormat="1" applyFont="1" applyFill="1" applyBorder="1" applyAlignment="1">
      <alignment horizontal="center" vertical="center" wrapText="1"/>
    </xf>
    <xf numFmtId="178" fontId="33" fillId="3" borderId="19" xfId="0" applyNumberFormat="1" applyFont="1" applyFill="1" applyBorder="1" applyAlignment="1">
      <alignment horizontal="center" vertical="center" wrapText="1"/>
    </xf>
    <xf numFmtId="2" fontId="33" fillId="3" borderId="19" xfId="0" applyNumberFormat="1" applyFont="1" applyFill="1" applyBorder="1" applyAlignment="1">
      <alignment horizontal="right" wrapText="1"/>
    </xf>
    <xf numFmtId="2" fontId="33" fillId="55" borderId="19" xfId="0" applyNumberFormat="1" applyFont="1" applyFill="1" applyBorder="1" applyAlignment="1">
      <alignment horizontal="right" wrapText="1"/>
    </xf>
    <xf numFmtId="2" fontId="44" fillId="0" borderId="19" xfId="0" applyNumberFormat="1" applyFont="1" applyFill="1" applyBorder="1" applyAlignment="1">
      <alignment vertical="center" wrapText="1"/>
    </xf>
    <xf numFmtId="2" fontId="45" fillId="0" borderId="19" xfId="0" applyNumberFormat="1" applyFont="1" applyFill="1" applyBorder="1" applyAlignment="1">
      <alignment horizontal="center" vertical="center" wrapText="1"/>
    </xf>
    <xf numFmtId="2" fontId="45" fillId="3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vertical="center" wrapText="1"/>
    </xf>
    <xf numFmtId="2" fontId="46" fillId="0" borderId="19" xfId="0" applyNumberFormat="1" applyFont="1" applyFill="1" applyBorder="1" applyAlignment="1">
      <alignment horizontal="center" vertical="center" wrapText="1"/>
    </xf>
    <xf numFmtId="2" fontId="46" fillId="3" borderId="19" xfId="0" applyNumberFormat="1" applyFont="1" applyFill="1" applyBorder="1" applyAlignment="1">
      <alignment horizontal="center" vertical="center" wrapText="1"/>
    </xf>
    <xf numFmtId="2" fontId="33" fillId="0" borderId="19" xfId="0" applyNumberFormat="1" applyFont="1" applyFill="1" applyBorder="1" applyAlignment="1">
      <alignment horizontal="center" wrapText="1"/>
    </xf>
    <xf numFmtId="2" fontId="33" fillId="0" borderId="19" xfId="0" applyNumberFormat="1" applyFont="1" applyFill="1" applyBorder="1" applyAlignment="1">
      <alignment wrapText="1"/>
    </xf>
    <xf numFmtId="2" fontId="46" fillId="0" borderId="19" xfId="0" applyNumberFormat="1" applyFont="1" applyFill="1" applyBorder="1" applyAlignment="1">
      <alignment horizontal="center" wrapText="1"/>
    </xf>
    <xf numFmtId="2" fontId="46" fillId="56" borderId="19" xfId="0" applyNumberFormat="1" applyFont="1" applyFill="1" applyBorder="1" applyAlignment="1">
      <alignment horizontal="center" wrapText="1"/>
    </xf>
    <xf numFmtId="2" fontId="33" fillId="3" borderId="19" xfId="0" applyNumberFormat="1" applyFont="1" applyFill="1" applyBorder="1" applyAlignment="1">
      <alignment horizontal="center" wrapText="1"/>
    </xf>
    <xf numFmtId="2" fontId="42" fillId="56" borderId="19" xfId="0" applyNumberFormat="1" applyFont="1" applyFill="1" applyBorder="1" applyAlignment="1">
      <alignment horizontal="center"/>
    </xf>
    <xf numFmtId="2" fontId="46" fillId="3" borderId="19" xfId="0" applyNumberFormat="1" applyFont="1" applyFill="1" applyBorder="1" applyAlignment="1">
      <alignment horizontal="center" wrapText="1"/>
    </xf>
    <xf numFmtId="0" fontId="42" fillId="3" borderId="19" xfId="0" applyFont="1" applyFill="1" applyBorder="1" applyAlignment="1">
      <alignment horizontal="center"/>
    </xf>
    <xf numFmtId="2" fontId="33" fillId="56" borderId="19" xfId="0" applyNumberFormat="1" applyFont="1" applyFill="1" applyBorder="1" applyAlignment="1">
      <alignment horizontal="center" wrapText="1"/>
    </xf>
    <xf numFmtId="2" fontId="42" fillId="56" borderId="19" xfId="0" applyNumberFormat="1" applyFont="1" applyFill="1" applyBorder="1" applyAlignment="1">
      <alignment/>
    </xf>
    <xf numFmtId="0" fontId="42" fillId="3" borderId="19" xfId="0" applyFont="1" applyFill="1" applyBorder="1" applyAlignment="1">
      <alignment/>
    </xf>
    <xf numFmtId="178" fontId="33" fillId="3" borderId="19" xfId="0" applyNumberFormat="1" applyFont="1" applyFill="1" applyBorder="1" applyAlignment="1">
      <alignment horizontal="center" wrapText="1"/>
    </xf>
    <xf numFmtId="178" fontId="33" fillId="0" borderId="24" xfId="0" applyNumberFormat="1" applyFont="1" applyFill="1" applyBorder="1" applyAlignment="1">
      <alignment horizontal="right" wrapText="1"/>
    </xf>
    <xf numFmtId="178" fontId="33" fillId="56" borderId="24" xfId="0" applyNumberFormat="1" applyFont="1" applyFill="1" applyBorder="1" applyAlignment="1">
      <alignment horizontal="right" wrapText="1"/>
    </xf>
    <xf numFmtId="0" fontId="42" fillId="56" borderId="0" xfId="0" applyFont="1" applyFill="1" applyBorder="1" applyAlignment="1">
      <alignment/>
    </xf>
    <xf numFmtId="2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3" fillId="56" borderId="0" xfId="0" applyFont="1" applyFill="1" applyAlignment="1">
      <alignment/>
    </xf>
    <xf numFmtId="0" fontId="22" fillId="56" borderId="0" xfId="0" applyFont="1" applyFill="1" applyAlignment="1">
      <alignment/>
    </xf>
    <xf numFmtId="0" fontId="0" fillId="56" borderId="0" xfId="0" applyFill="1" applyAlignment="1">
      <alignment/>
    </xf>
    <xf numFmtId="0" fontId="36" fillId="56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49" fillId="56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2" fontId="20" fillId="0" borderId="19" xfId="0" applyNumberFormat="1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2" fontId="28" fillId="0" borderId="27" xfId="0" applyNumberFormat="1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2" fontId="28" fillId="0" borderId="28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2" fontId="34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2" fontId="28" fillId="0" borderId="28" xfId="0" applyNumberFormat="1" applyFont="1" applyBorder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26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185" fontId="28" fillId="0" borderId="27" xfId="0" applyNumberFormat="1" applyFont="1" applyBorder="1" applyAlignment="1">
      <alignment wrapText="1"/>
    </xf>
    <xf numFmtId="0" fontId="26" fillId="0" borderId="29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2" fontId="28" fillId="0" borderId="21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/>
    </xf>
    <xf numFmtId="0" fontId="28" fillId="0" borderId="19" xfId="90" applyFont="1" applyFill="1" applyBorder="1" applyAlignment="1">
      <alignment horizontal="center" vertical="center" wrapText="1"/>
      <protection/>
    </xf>
    <xf numFmtId="0" fontId="27" fillId="0" borderId="19" xfId="90" applyFont="1" applyFill="1" applyBorder="1" applyAlignment="1">
      <alignment horizontal="center" vertical="center" wrapText="1"/>
      <protection/>
    </xf>
    <xf numFmtId="0" fontId="27" fillId="0" borderId="35" xfId="90" applyFont="1" applyFill="1" applyBorder="1" applyAlignment="1">
      <alignment horizontal="center" vertical="center" wrapText="1"/>
      <protection/>
    </xf>
    <xf numFmtId="2" fontId="27" fillId="0" borderId="19" xfId="90" applyNumberFormat="1" applyFont="1" applyFill="1" applyBorder="1" applyAlignment="1">
      <alignment horizontal="center" wrapText="1"/>
      <protection/>
    </xf>
    <xf numFmtId="0" fontId="27" fillId="0" borderId="0" xfId="90" applyFont="1" applyFill="1" applyBorder="1" applyAlignment="1">
      <alignment horizontal="center" vertical="center" wrapText="1"/>
      <protection/>
    </xf>
    <xf numFmtId="0" fontId="47" fillId="0" borderId="0" xfId="91" applyFont="1" applyBorder="1" applyAlignment="1">
      <alignment horizontal="center"/>
      <protection/>
    </xf>
    <xf numFmtId="0" fontId="47" fillId="0" borderId="0" xfId="91" applyFont="1" applyBorder="1" applyAlignment="1">
      <alignment horizontal="left" wrapText="1"/>
      <protection/>
    </xf>
    <xf numFmtId="0" fontId="33" fillId="0" borderId="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28" fillId="56" borderId="19" xfId="0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</cellXfs>
  <cellStyles count="11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Comma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15" xfId="90"/>
    <cellStyle name="Обычный 2 2" xfId="91"/>
    <cellStyle name="Обычный 2 3" xfId="92"/>
    <cellStyle name="Обычный 2_Аналіз старих тарифів на коміссію27_10_11" xfId="93"/>
    <cellStyle name="Обычный 3" xfId="94"/>
    <cellStyle name="Обычный 3 2" xfId="95"/>
    <cellStyle name="Обычный 3 3" xfId="96"/>
    <cellStyle name="Обычный 3 4" xfId="97"/>
    <cellStyle name="Обычный 4" xfId="98"/>
    <cellStyle name="Обычный 4 2" xfId="99"/>
    <cellStyle name="Обычный 4 3" xfId="100"/>
    <cellStyle name="Обычный 4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Финансовый 3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B3B3B3"/>
      <rgbColor rgb="00003366"/>
      <rgbColor rgb="0033A3A3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M51"/>
  <sheetViews>
    <sheetView tabSelected="1" view="pageBreakPreview" zoomScale="95" zoomScaleSheetLayoutView="95" zoomScalePageLayoutView="0" workbookViewId="0" topLeftCell="A1">
      <pane xSplit="2" ySplit="11" topLeftCell="G3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7" sqref="A7"/>
    </sheetView>
  </sheetViews>
  <sheetFormatPr defaultColWidth="11.57421875" defaultRowHeight="12.75"/>
  <cols>
    <col min="1" max="1" width="7.7109375" style="1" customWidth="1"/>
    <col min="2" max="2" width="60.8515625" style="2" customWidth="1"/>
    <col min="3" max="6" width="0" style="2" hidden="1" customWidth="1"/>
    <col min="7" max="13" width="11.421875" style="2" customWidth="1"/>
    <col min="14" max="18" width="11.57421875" style="2" customWidth="1"/>
    <col min="19" max="19" width="3.421875" style="2" customWidth="1"/>
    <col min="20" max="20" width="11.57421875" style="2" customWidth="1"/>
    <col min="21" max="21" width="4.7109375" style="2" customWidth="1"/>
    <col min="22" max="22" width="13.140625" style="2" customWidth="1"/>
    <col min="23" max="16384" width="11.57421875" style="2" customWidth="1"/>
  </cols>
  <sheetData>
    <row r="1" spans="1:13" ht="16.5">
      <c r="A1" s="3"/>
      <c r="B1" s="4"/>
      <c r="H1" s="5"/>
      <c r="I1" s="5"/>
      <c r="J1" s="5"/>
      <c r="K1" s="5"/>
      <c r="L1" s="5"/>
      <c r="M1" s="6"/>
    </row>
    <row r="2" spans="1:14" ht="14.25" customHeight="1">
      <c r="A2" s="7"/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10"/>
      <c r="N2" s="10"/>
    </row>
    <row r="3" spans="1:12" ht="15" customHeight="1">
      <c r="A3" s="11"/>
      <c r="B3" s="12"/>
      <c r="C3" s="12"/>
      <c r="D3" s="12"/>
      <c r="E3" s="12"/>
      <c r="F3" s="12"/>
      <c r="G3" s="12"/>
      <c r="H3" s="13"/>
      <c r="I3" s="13"/>
      <c r="J3" s="13"/>
      <c r="K3" s="13"/>
      <c r="L3" s="14"/>
    </row>
    <row r="4" spans="1:18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5"/>
      <c r="R4" s="236"/>
    </row>
    <row r="5" spans="1:13" ht="20.25" customHeight="1">
      <c r="A5" s="266" t="s">
        <v>226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4" ht="18.75" customHeight="1">
      <c r="A6" s="266" t="s">
        <v>243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16"/>
    </row>
    <row r="7" spans="1:13" ht="18.75">
      <c r="A7" s="11"/>
      <c r="B7" s="267"/>
      <c r="C7" s="267"/>
      <c r="D7" s="267"/>
      <c r="E7" s="267"/>
      <c r="F7" s="267"/>
      <c r="G7" s="267"/>
      <c r="H7" s="267"/>
      <c r="I7" s="17"/>
      <c r="J7" s="17"/>
      <c r="K7" s="17"/>
      <c r="M7" s="18" t="s">
        <v>231</v>
      </c>
    </row>
    <row r="8" spans="1:65" ht="74.25" customHeight="1">
      <c r="A8" s="268" t="s">
        <v>1</v>
      </c>
      <c r="B8" s="268" t="s">
        <v>2</v>
      </c>
      <c r="C8" s="268" t="s">
        <v>3</v>
      </c>
      <c r="D8" s="268"/>
      <c r="E8" s="268" t="s">
        <v>4</v>
      </c>
      <c r="F8" s="268"/>
      <c r="G8" s="277" t="s">
        <v>4</v>
      </c>
      <c r="H8" s="278"/>
      <c r="I8" s="278"/>
      <c r="J8" s="278"/>
      <c r="K8" s="272" t="s">
        <v>5</v>
      </c>
      <c r="L8" s="273"/>
      <c r="M8" s="273"/>
      <c r="N8" s="273"/>
      <c r="O8" s="272" t="s">
        <v>6</v>
      </c>
      <c r="P8" s="273"/>
      <c r="Q8" s="273"/>
      <c r="R8" s="274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1:65" ht="74.25" customHeight="1">
      <c r="A9" s="268"/>
      <c r="B9" s="268"/>
      <c r="C9" s="19"/>
      <c r="D9" s="19"/>
      <c r="E9" s="19"/>
      <c r="F9" s="19"/>
      <c r="G9" s="275" t="s">
        <v>202</v>
      </c>
      <c r="H9" s="276"/>
      <c r="I9" s="275" t="s">
        <v>200</v>
      </c>
      <c r="J9" s="276"/>
      <c r="K9" s="275" t="s">
        <v>202</v>
      </c>
      <c r="L9" s="276"/>
      <c r="M9" s="270" t="s">
        <v>200</v>
      </c>
      <c r="N9" s="279"/>
      <c r="O9" s="275" t="s">
        <v>202</v>
      </c>
      <c r="P9" s="276"/>
      <c r="Q9" s="270" t="s">
        <v>200</v>
      </c>
      <c r="R9" s="27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65" ht="36.75" customHeight="1">
      <c r="A10" s="268"/>
      <c r="B10" s="268"/>
      <c r="C10" s="24" t="s">
        <v>7</v>
      </c>
      <c r="D10" s="24" t="s">
        <v>8</v>
      </c>
      <c r="E10" s="24" t="s">
        <v>7</v>
      </c>
      <c r="F10" s="24" t="s">
        <v>8</v>
      </c>
      <c r="G10" s="25" t="s">
        <v>201</v>
      </c>
      <c r="H10" s="25" t="s">
        <v>8</v>
      </c>
      <c r="I10" s="25" t="s">
        <v>201</v>
      </c>
      <c r="J10" s="25" t="s">
        <v>8</v>
      </c>
      <c r="K10" s="25" t="s">
        <v>201</v>
      </c>
      <c r="L10" s="25" t="s">
        <v>8</v>
      </c>
      <c r="M10" s="25" t="s">
        <v>201</v>
      </c>
      <c r="N10" s="25" t="s">
        <v>8</v>
      </c>
      <c r="O10" s="25" t="s">
        <v>201</v>
      </c>
      <c r="P10" s="25" t="s">
        <v>8</v>
      </c>
      <c r="Q10" s="25" t="s">
        <v>201</v>
      </c>
      <c r="R10" s="25" t="s">
        <v>8</v>
      </c>
      <c r="S10" s="26"/>
      <c r="T10" s="2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spans="1:65" ht="15.75" customHeight="1">
      <c r="A11" s="27">
        <v>1</v>
      </c>
      <c r="B11" s="28">
        <v>2</v>
      </c>
      <c r="C11" s="29">
        <v>3</v>
      </c>
      <c r="D11" s="29">
        <v>4</v>
      </c>
      <c r="E11" s="29">
        <v>5</v>
      </c>
      <c r="F11" s="29">
        <v>6</v>
      </c>
      <c r="G11" s="29">
        <v>3</v>
      </c>
      <c r="H11" s="29">
        <v>4</v>
      </c>
      <c r="I11" s="29">
        <v>5</v>
      </c>
      <c r="J11" s="29">
        <v>6</v>
      </c>
      <c r="K11" s="29">
        <v>7</v>
      </c>
      <c r="L11" s="29">
        <v>8</v>
      </c>
      <c r="M11" s="29">
        <v>9</v>
      </c>
      <c r="N11" s="28">
        <v>1</v>
      </c>
      <c r="O11" s="30">
        <v>11</v>
      </c>
      <c r="P11" s="29">
        <v>12</v>
      </c>
      <c r="Q11" s="29">
        <v>13</v>
      </c>
      <c r="R11" s="29">
        <v>14</v>
      </c>
      <c r="S11" s="30"/>
      <c r="T11" s="30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</row>
    <row r="12" spans="1:26" s="36" customFormat="1" ht="15.75">
      <c r="A12" s="19">
        <v>1</v>
      </c>
      <c r="B12" s="31" t="s">
        <v>10</v>
      </c>
      <c r="C12" s="32" t="e">
        <f>'Додаток1 скор'!F8</f>
        <v>#REF!</v>
      </c>
      <c r="D12" s="32" t="e">
        <f>'Додаток1 скор'!G8</f>
        <v>#REF!</v>
      </c>
      <c r="E12" s="33" t="e">
        <f>'Додаток1 скор'!K8</f>
        <v>#REF!</v>
      </c>
      <c r="F12" s="33" t="e">
        <f>'Додаток1 скор'!L8</f>
        <v>#REF!</v>
      </c>
      <c r="G12" s="33">
        <f>G13+G20+G21+G24</f>
        <v>211055.97</v>
      </c>
      <c r="H12" s="33">
        <f>G12/G45*1000+0.01</f>
        <v>1398.3921365163997</v>
      </c>
      <c r="I12" s="33">
        <f>I13+I20+I21+I24</f>
        <v>96786.91045297608</v>
      </c>
      <c r="J12" s="33">
        <f>I12/I45*1000</f>
        <v>1573.7603843489123</v>
      </c>
      <c r="K12" s="33">
        <f>K13+K20+K21+K24</f>
        <v>70515.23999999999</v>
      </c>
      <c r="L12" s="33">
        <f>K12/K45*1000-0.01</f>
        <v>1397.546568493516</v>
      </c>
      <c r="M12" s="33">
        <f>M13+M20+M21+M24</f>
        <v>20190.22273422902</v>
      </c>
      <c r="N12" s="33">
        <f>M12/M45*1000</f>
        <v>1584.9234648375398</v>
      </c>
      <c r="O12" s="33">
        <f>O13+O20+O21+O24-0.01</f>
        <v>14742.840000000004</v>
      </c>
      <c r="P12" s="33">
        <f>O12/O45*1000</f>
        <v>1396.6895171833614</v>
      </c>
      <c r="Q12" s="33">
        <f>Q13+Q20+Q21+Q24</f>
        <v>2311.8868127949013</v>
      </c>
      <c r="R12" s="33">
        <f>Q12/Q45*1000</f>
        <v>1567.1779537665977</v>
      </c>
      <c r="S12" s="34"/>
      <c r="T12" s="33">
        <f>T13+T20+T21+T24</f>
        <v>119289.02</v>
      </c>
      <c r="U12" s="35"/>
      <c r="V12" s="35">
        <f>I12+M12+Q12</f>
        <v>119289.01999999999</v>
      </c>
      <c r="W12" s="35"/>
      <c r="X12" s="35"/>
      <c r="Y12" s="35"/>
      <c r="Z12" s="35"/>
    </row>
    <row r="13" spans="1:26" s="36" customFormat="1" ht="15.75">
      <c r="A13" s="19" t="s">
        <v>11</v>
      </c>
      <c r="B13" s="31" t="s">
        <v>12</v>
      </c>
      <c r="C13" s="32" t="e">
        <f>'Додаток1 скор'!F9</f>
        <v>#REF!</v>
      </c>
      <c r="D13" s="32" t="e">
        <f>'Додаток1 скор'!G9</f>
        <v>#REF!</v>
      </c>
      <c r="E13" s="33" t="e">
        <f>'Додаток1 скор'!K9</f>
        <v>#REF!</v>
      </c>
      <c r="F13" s="33" t="e">
        <f>'Додаток1 скор'!L9</f>
        <v>#REF!</v>
      </c>
      <c r="G13" s="33">
        <f>G14+G15+G18+G19</f>
        <v>184958.7</v>
      </c>
      <c r="H13" s="33">
        <f>G13/G45*1000</f>
        <v>1225.470864781962</v>
      </c>
      <c r="I13" s="33">
        <f>I14+I15+I18+I19</f>
        <v>74882.9860410784</v>
      </c>
      <c r="J13" s="33">
        <f>I13/I45*1000</f>
        <v>1217.6013919822162</v>
      </c>
      <c r="K13" s="33">
        <f>K14+K15+K18+K19-0.01</f>
        <v>61972.09999999999</v>
      </c>
      <c r="L13" s="33">
        <f>K13/K45*1000-0.01</f>
        <v>1228.2282562739206</v>
      </c>
      <c r="M13" s="33">
        <f>M14+M15+M18+M19</f>
        <v>15653.139686235116</v>
      </c>
      <c r="N13" s="33">
        <f>M13/M45*1000</f>
        <v>1228.7644724708437</v>
      </c>
      <c r="O13" s="33">
        <f>O14+O15+O18+O19</f>
        <v>12910.540000000003</v>
      </c>
      <c r="P13" s="33">
        <f>O13/O45*1000</f>
        <v>1223.1032744828321</v>
      </c>
      <c r="Q13" s="33">
        <f>Q14+Q15+Q18+Q19</f>
        <v>1786.4842726864802</v>
      </c>
      <c r="R13" s="33">
        <f>Q13/Q45*1000</f>
        <v>1211.0189613999</v>
      </c>
      <c r="S13" s="34"/>
      <c r="T13" s="33">
        <f>T14+T15+T18+T19</f>
        <v>92322.61000000002</v>
      </c>
      <c r="U13" s="35"/>
      <c r="V13" s="35"/>
      <c r="W13" s="35"/>
      <c r="X13" s="35"/>
      <c r="Y13" s="35"/>
      <c r="Z13" s="35"/>
    </row>
    <row r="14" spans="1:65" s="43" customFormat="1" ht="15.75">
      <c r="A14" s="37" t="s">
        <v>13</v>
      </c>
      <c r="B14" s="38" t="s">
        <v>14</v>
      </c>
      <c r="C14" s="39">
        <f>'Додаток1 скор'!F10</f>
        <v>54287.13590669442</v>
      </c>
      <c r="D14" s="39">
        <f>'Додаток1 скор'!G10</f>
        <v>256.14349051308176</v>
      </c>
      <c r="E14" s="40">
        <f>'Додаток1 скор'!K10</f>
        <v>26176.1</v>
      </c>
      <c r="F14" s="40">
        <f>'Додаток1 скор'!L10</f>
        <v>173.43357140604422</v>
      </c>
      <c r="G14" s="40">
        <v>167186.54</v>
      </c>
      <c r="H14" s="33">
        <f>G14/G45*1000</f>
        <v>1107.7188245467992</v>
      </c>
      <c r="I14" s="40">
        <v>60742.88</v>
      </c>
      <c r="J14" s="33">
        <f>I14/I45*1000</f>
        <v>987.6825050811449</v>
      </c>
      <c r="K14" s="40">
        <f>55847.81+182.99</f>
        <v>56030.799999999996</v>
      </c>
      <c r="L14" s="33">
        <f>K14/K45*1000</f>
        <v>1110.4863654714425</v>
      </c>
      <c r="M14" s="40">
        <f>12541.23+182.99</f>
        <v>12724.22</v>
      </c>
      <c r="N14" s="33">
        <f>M14/M45*1000</f>
        <v>998.8455855697725</v>
      </c>
      <c r="O14" s="40">
        <v>11667.6</v>
      </c>
      <c r="P14" s="33">
        <f>O14/O45*1000</f>
        <v>1105.3511135363733</v>
      </c>
      <c r="Q14" s="40">
        <f>1444.49+2.82</f>
        <v>1447.31</v>
      </c>
      <c r="R14" s="33">
        <f>Q14/Q45*1000</f>
        <v>981.1000744988276</v>
      </c>
      <c r="S14" s="41"/>
      <c r="T14" s="40">
        <f>74731.42+182.99</f>
        <v>74914.41</v>
      </c>
      <c r="U14" s="35"/>
      <c r="V14" s="35">
        <f>Q14+M14+I14</f>
        <v>74914.41</v>
      </c>
      <c r="W14" s="35"/>
      <c r="X14" s="35"/>
      <c r="Y14" s="35"/>
      <c r="Z14" s="35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</row>
    <row r="15" spans="1:65" s="43" customFormat="1" ht="15.75">
      <c r="A15" s="37" t="s">
        <v>15</v>
      </c>
      <c r="B15" s="38" t="s">
        <v>16</v>
      </c>
      <c r="C15" s="39" t="e">
        <f>'Додаток1 скор'!F13</f>
        <v>#REF!</v>
      </c>
      <c r="D15" s="39" t="e">
        <f>'Додаток1 скор'!G13</f>
        <v>#REF!</v>
      </c>
      <c r="E15" s="40" t="e">
        <f>'Додаток1 скор'!K13</f>
        <v>#REF!</v>
      </c>
      <c r="F15" s="40" t="e">
        <f>'Додаток1 скор'!L13</f>
        <v>#REF!</v>
      </c>
      <c r="G15" s="40">
        <v>16281.79</v>
      </c>
      <c r="H15" s="33">
        <f>G15/G45*1000</f>
        <v>107.87737625479797</v>
      </c>
      <c r="I15" s="40">
        <f>T15/V45*I45</f>
        <v>12513.78509374053</v>
      </c>
      <c r="J15" s="33">
        <f>I15/I45*1000</f>
        <v>203.47482057868734</v>
      </c>
      <c r="K15" s="40">
        <v>5443.07</v>
      </c>
      <c r="L15" s="33">
        <f>K15/K45*1000</f>
        <v>107.87736425870494</v>
      </c>
      <c r="M15" s="40">
        <f>T15/V45*M45</f>
        <v>2592.050682215175</v>
      </c>
      <c r="N15" s="33">
        <f>M15/M45*1000</f>
        <v>203.47482057868734</v>
      </c>
      <c r="O15" s="40">
        <v>1138.71</v>
      </c>
      <c r="P15" s="33">
        <f>O15/O45*1000</f>
        <v>107.8777440514762</v>
      </c>
      <c r="Q15" s="40">
        <f>T15-M15-I15</f>
        <v>300.16422404429613</v>
      </c>
      <c r="R15" s="33">
        <f>Q15/Q45*1000</f>
        <v>203.47482057868854</v>
      </c>
      <c r="S15" s="41"/>
      <c r="T15" s="40">
        <f>14532.6+873.4</f>
        <v>15406</v>
      </c>
      <c r="U15" s="35"/>
      <c r="V15" s="35"/>
      <c r="W15" s="35"/>
      <c r="X15" s="35"/>
      <c r="Y15" s="35"/>
      <c r="Z15" s="35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</row>
    <row r="16" spans="1:65" s="43" customFormat="1" ht="31.5">
      <c r="A16" s="37" t="s">
        <v>17</v>
      </c>
      <c r="B16" s="44" t="s">
        <v>18</v>
      </c>
      <c r="C16" s="39">
        <f>'Додаток1 скор'!F14</f>
        <v>0</v>
      </c>
      <c r="D16" s="39">
        <f>'Додаток1 скор'!G14</f>
        <v>0</v>
      </c>
      <c r="E16" s="40">
        <f>'Додаток1 скор'!K14</f>
        <v>0</v>
      </c>
      <c r="F16" s="40">
        <f>'Додаток1 скор'!L14</f>
        <v>0</v>
      </c>
      <c r="G16" s="40">
        <v>0</v>
      </c>
      <c r="H16" s="33">
        <f>G16/G45*1000</f>
        <v>0</v>
      </c>
      <c r="I16" s="40">
        <f>T16/V45*I45</f>
        <v>0</v>
      </c>
      <c r="J16" s="33">
        <f>I16/I45*1000</f>
        <v>0</v>
      </c>
      <c r="K16" s="40">
        <v>0</v>
      </c>
      <c r="L16" s="33">
        <f>K16/K45*1000</f>
        <v>0</v>
      </c>
      <c r="M16" s="40">
        <v>0</v>
      </c>
      <c r="N16" s="33">
        <f>M16/M45*1000</f>
        <v>0</v>
      </c>
      <c r="O16" s="40">
        <v>0</v>
      </c>
      <c r="P16" s="33">
        <f>O16/O45*1000</f>
        <v>0</v>
      </c>
      <c r="Q16" s="40">
        <v>0</v>
      </c>
      <c r="R16" s="33">
        <f>Q16/Q45*1000</f>
        <v>0</v>
      </c>
      <c r="S16" s="41"/>
      <c r="T16" s="40">
        <v>0</v>
      </c>
      <c r="U16" s="35"/>
      <c r="V16" s="35"/>
      <c r="W16" s="35"/>
      <c r="X16" s="35"/>
      <c r="Y16" s="35"/>
      <c r="Z16" s="35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1:65" s="43" customFormat="1" ht="15.75">
      <c r="A17" s="37" t="s">
        <v>19</v>
      </c>
      <c r="B17" s="44" t="s">
        <v>20</v>
      </c>
      <c r="C17" s="39">
        <f>'Додаток1 скор'!F17</f>
        <v>0</v>
      </c>
      <c r="D17" s="39">
        <f>'Додаток1 скор'!G17</f>
        <v>0</v>
      </c>
      <c r="E17" s="40">
        <f>'Додаток1 скор'!K17</f>
        <v>0</v>
      </c>
      <c r="F17" s="40">
        <f>'Додаток1 скор'!L17</f>
        <v>0</v>
      </c>
      <c r="G17" s="40">
        <v>0</v>
      </c>
      <c r="H17" s="33">
        <f>G17/G45*1000</f>
        <v>0</v>
      </c>
      <c r="I17" s="40">
        <v>0</v>
      </c>
      <c r="J17" s="33">
        <f>I17/I45*1000</f>
        <v>0</v>
      </c>
      <c r="K17" s="40">
        <v>0</v>
      </c>
      <c r="L17" s="33">
        <f>K17/K45*1000</f>
        <v>0</v>
      </c>
      <c r="M17" s="40">
        <v>0</v>
      </c>
      <c r="N17" s="33">
        <f>M17/M45*1000</f>
        <v>0</v>
      </c>
      <c r="O17" s="40">
        <v>0</v>
      </c>
      <c r="P17" s="33">
        <f>O17/O45*1000</f>
        <v>0</v>
      </c>
      <c r="Q17" s="40">
        <v>0</v>
      </c>
      <c r="R17" s="33">
        <f>Q17/Q45*1000</f>
        <v>0</v>
      </c>
      <c r="S17" s="41"/>
      <c r="T17" s="40">
        <v>0</v>
      </c>
      <c r="U17" s="35"/>
      <c r="V17" s="35"/>
      <c r="W17" s="35"/>
      <c r="X17" s="35"/>
      <c r="Y17" s="35"/>
      <c r="Z17" s="35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</row>
    <row r="18" spans="1:65" s="43" customFormat="1" ht="31.5">
      <c r="A18" s="37" t="s">
        <v>21</v>
      </c>
      <c r="B18" s="38" t="s">
        <v>22</v>
      </c>
      <c r="C18" s="39" t="e">
        <f>'Додаток1 скор'!F21</f>
        <v>#REF!</v>
      </c>
      <c r="D18" s="39" t="e">
        <f>'Додаток1 скор'!G21</f>
        <v>#REF!</v>
      </c>
      <c r="E18" s="40" t="e">
        <f>'Додаток1 скор'!K21</f>
        <v>#REF!</v>
      </c>
      <c r="F18" s="40" t="e">
        <f>'Додаток1 скор'!L21</f>
        <v>#REF!</v>
      </c>
      <c r="G18" s="40">
        <v>1338.69</v>
      </c>
      <c r="H18" s="33">
        <f>G18/G45*1000</f>
        <v>8.869686000036575</v>
      </c>
      <c r="I18" s="40">
        <f>T18/V45*I45</f>
        <v>860.2719585084119</v>
      </c>
      <c r="J18" s="33">
        <f>I18/I45*1000</f>
        <v>13.98806844572814</v>
      </c>
      <c r="K18" s="40">
        <v>447.53</v>
      </c>
      <c r="L18" s="33">
        <f>K18/K45*1000</f>
        <v>8.869692439505322</v>
      </c>
      <c r="M18" s="40">
        <f>T18/V45*M45</f>
        <v>178.1929688130658</v>
      </c>
      <c r="N18" s="33">
        <f>M18/M45*1000</f>
        <v>13.98806844572814</v>
      </c>
      <c r="O18" s="40">
        <v>93.62</v>
      </c>
      <c r="P18" s="33">
        <f>O18/O45*1000</f>
        <v>8.869259423469718</v>
      </c>
      <c r="Q18" s="40">
        <f>T18-M18-I18</f>
        <v>20.635072678522192</v>
      </c>
      <c r="R18" s="33">
        <f>Q18/Q45*1000</f>
        <v>13.988068445728175</v>
      </c>
      <c r="S18" s="41"/>
      <c r="T18" s="40">
        <f>1053.1+6</f>
        <v>1059.1</v>
      </c>
      <c r="U18" s="35"/>
      <c r="V18" s="35"/>
      <c r="W18" s="35"/>
      <c r="X18" s="35"/>
      <c r="Y18" s="35"/>
      <c r="Z18" s="35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1:65" s="43" customFormat="1" ht="31.5">
      <c r="A19" s="37" t="s">
        <v>23</v>
      </c>
      <c r="B19" s="38" t="s">
        <v>24</v>
      </c>
      <c r="C19" s="39" t="e">
        <f>'Додаток1 скор'!F22</f>
        <v>#REF!</v>
      </c>
      <c r="D19" s="39" t="e">
        <f>'Додаток1 скор'!G22</f>
        <v>#REF!</v>
      </c>
      <c r="E19" s="40" t="e">
        <f>'Додаток1 скор'!K22</f>
        <v>#REF!</v>
      </c>
      <c r="F19" s="40" t="e">
        <f>'Додаток1 скор'!L22</f>
        <v>#REF!</v>
      </c>
      <c r="G19" s="40">
        <v>151.68</v>
      </c>
      <c r="H19" s="33">
        <f>G19/G45*1000</f>
        <v>1.0049779803281922</v>
      </c>
      <c r="I19" s="40">
        <f>T19/V45*I45</f>
        <v>766.0489888294621</v>
      </c>
      <c r="J19" s="33">
        <f>I19/I45*1000</f>
        <v>12.45599787665585</v>
      </c>
      <c r="K19" s="40">
        <v>50.71</v>
      </c>
      <c r="L19" s="33">
        <f>K19/K45*1000-0.01</f>
        <v>0.9950322963987104</v>
      </c>
      <c r="M19" s="40">
        <f>T19/V45*M45</f>
        <v>158.676035206876</v>
      </c>
      <c r="N19" s="33">
        <f>M19/M45*1000</f>
        <v>12.455997876655852</v>
      </c>
      <c r="O19" s="40">
        <v>10.61</v>
      </c>
      <c r="P19" s="33">
        <f>O19/O45*1000-0.01</f>
        <v>0.9951574715126437</v>
      </c>
      <c r="Q19" s="40">
        <f>T19-M19-I19</f>
        <v>18.374975963661882</v>
      </c>
      <c r="R19" s="33">
        <f>Q19/Q45*1000</f>
        <v>12.455997876655893</v>
      </c>
      <c r="S19" s="41"/>
      <c r="T19" s="40">
        <f>269.4+665+8.7</f>
        <v>943.1</v>
      </c>
      <c r="U19" s="35"/>
      <c r="V19" s="35"/>
      <c r="W19" s="35"/>
      <c r="X19" s="35"/>
      <c r="Y19" s="35"/>
      <c r="Z19" s="35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</row>
    <row r="20" spans="1:26" s="36" customFormat="1" ht="31.5">
      <c r="A20" s="19" t="s">
        <v>25</v>
      </c>
      <c r="B20" s="31" t="s">
        <v>26</v>
      </c>
      <c r="C20" s="32" t="e">
        <f>'Додаток1 скор'!F23</f>
        <v>#REF!</v>
      </c>
      <c r="D20" s="32" t="e">
        <f>'Додаток1 скор'!G23</f>
        <v>#REF!</v>
      </c>
      <c r="E20" s="33" t="e">
        <f>'Додаток1 скор'!K23</f>
        <v>#REF!</v>
      </c>
      <c r="F20" s="33" t="e">
        <f>'Додаток1 скор'!L23</f>
        <v>#REF!</v>
      </c>
      <c r="G20" s="33">
        <v>22027.96</v>
      </c>
      <c r="H20" s="33">
        <f>G20/G45*1000</f>
        <v>145.94946434302614</v>
      </c>
      <c r="I20" s="33">
        <f>T20/V45*I45</f>
        <v>11450.44639023438</v>
      </c>
      <c r="J20" s="33">
        <f>I20/I45*1000</f>
        <v>186.18487590651029</v>
      </c>
      <c r="K20" s="33">
        <v>7365.77</v>
      </c>
      <c r="L20" s="33">
        <f>K20/K45*1000</f>
        <v>145.9837652897797</v>
      </c>
      <c r="M20" s="33">
        <f>T20/V45*M45</f>
        <v>2371.7953564922173</v>
      </c>
      <c r="N20" s="33">
        <f>M20/M45*1000</f>
        <v>186.18487590651029</v>
      </c>
      <c r="O20" s="33">
        <v>1547.46</v>
      </c>
      <c r="P20" s="33">
        <f>O20/O45*1000+0.01</f>
        <v>146.61141195730022</v>
      </c>
      <c r="Q20" s="40">
        <f>T20-M20-I20</f>
        <v>274.6582532734028</v>
      </c>
      <c r="R20" s="33">
        <f>Q20/Q45*1000</f>
        <v>186.18487590651165</v>
      </c>
      <c r="S20" s="34"/>
      <c r="T20" s="33">
        <f>6895.2+1474.4+4615.9+974.9+111.9+24.6</f>
        <v>14096.9</v>
      </c>
      <c r="U20" s="35"/>
      <c r="V20" s="35"/>
      <c r="W20" s="35"/>
      <c r="X20" s="35"/>
      <c r="Y20" s="35"/>
      <c r="Z20" s="35"/>
    </row>
    <row r="21" spans="1:26" s="36" customFormat="1" ht="15.75">
      <c r="A21" s="19" t="s">
        <v>27</v>
      </c>
      <c r="B21" s="31" t="s">
        <v>28</v>
      </c>
      <c r="C21" s="32" t="e">
        <f>'Додаток1 скор'!F24</f>
        <v>#REF!</v>
      </c>
      <c r="D21" s="32" t="e">
        <f>'Додаток1 скор'!G24</f>
        <v>#REF!</v>
      </c>
      <c r="E21" s="33" t="e">
        <f>'Додаток1 скор'!H24</f>
        <v>#REF!</v>
      </c>
      <c r="F21" s="33" t="e">
        <f>'Додаток1 скор'!L24</f>
        <v>#REF!</v>
      </c>
      <c r="G21" s="33">
        <f>G22+G23</f>
        <v>3080.06</v>
      </c>
      <c r="H21" s="33">
        <f>G21/G45*1000</f>
        <v>20.40738711820709</v>
      </c>
      <c r="I21" s="33">
        <f>I22+I23</f>
        <v>9332.95572276578</v>
      </c>
      <c r="J21" s="33">
        <f>I21/I45*1000</f>
        <v>151.75436344264074</v>
      </c>
      <c r="K21" s="33">
        <f>K22+K23-0.01</f>
        <v>846.69</v>
      </c>
      <c r="L21" s="33">
        <f>K21/K45*1000</f>
        <v>16.780729541270443</v>
      </c>
      <c r="M21" s="33">
        <f>M22+M23</f>
        <v>1933.1876060729057</v>
      </c>
      <c r="N21" s="33">
        <f>M21/M45*1000</f>
        <v>151.75436344264077</v>
      </c>
      <c r="O21" s="33">
        <f>O22+O23</f>
        <v>215.41000000000003</v>
      </c>
      <c r="P21" s="33">
        <f>O21/O45*1000</f>
        <v>20.407254565366504</v>
      </c>
      <c r="Q21" s="33">
        <f>Q22+Q23</f>
        <v>223.8666711613132</v>
      </c>
      <c r="R21" s="33">
        <f>Q21/Q45*1000</f>
        <v>151.7543634426411</v>
      </c>
      <c r="S21" s="34"/>
      <c r="T21" s="33">
        <f>T22+T23</f>
        <v>11490.01</v>
      </c>
      <c r="U21" s="35"/>
      <c r="V21" s="35"/>
      <c r="W21" s="35"/>
      <c r="X21" s="35"/>
      <c r="Y21" s="35"/>
      <c r="Z21" s="35"/>
    </row>
    <row r="22" spans="1:65" s="43" customFormat="1" ht="15.75">
      <c r="A22" s="37" t="s">
        <v>29</v>
      </c>
      <c r="B22" s="38" t="s">
        <v>30</v>
      </c>
      <c r="C22" s="39" t="e">
        <f>'Додаток1 скор'!F26</f>
        <v>#REF!</v>
      </c>
      <c r="D22" s="39" t="e">
        <f>'Додаток1 скор'!G26</f>
        <v>#REF!</v>
      </c>
      <c r="E22" s="40" t="e">
        <f>'Додаток1 скор'!H26</f>
        <v>#REF!</v>
      </c>
      <c r="F22" s="40" t="e">
        <f>'Додаток1 скор'!L26</f>
        <v>#REF!</v>
      </c>
      <c r="G22" s="40">
        <v>1052.47</v>
      </c>
      <c r="H22" s="33">
        <f>G22/G45*1000+0.01</f>
        <v>6.983293611260629</v>
      </c>
      <c r="I22" s="40">
        <f>T22/V45*I45</f>
        <v>1942.4552559503506</v>
      </c>
      <c r="J22" s="33">
        <f>I22/I45*1000</f>
        <v>31.584427231719648</v>
      </c>
      <c r="K22" s="40">
        <v>351.85</v>
      </c>
      <c r="L22" s="33">
        <f>K22/K45*1000+0.01</f>
        <v>6.98339012991296</v>
      </c>
      <c r="M22" s="40">
        <f>T22/V45*M45</f>
        <v>402.3516812572614</v>
      </c>
      <c r="N22" s="33">
        <f>M22/M45*1000</f>
        <v>31.584427231719648</v>
      </c>
      <c r="O22" s="40">
        <v>73.61</v>
      </c>
      <c r="P22" s="33">
        <f>O22/O45*1000+0.01</f>
        <v>6.983576011125891</v>
      </c>
      <c r="Q22" s="40">
        <f>T22-M22-I22</f>
        <v>46.59306279238808</v>
      </c>
      <c r="R22" s="33">
        <f>Q22/Q45*1000</f>
        <v>31.58442723171988</v>
      </c>
      <c r="S22" s="41"/>
      <c r="T22" s="40">
        <f>1691.7+699.7</f>
        <v>2391.4</v>
      </c>
      <c r="U22" s="35"/>
      <c r="V22" s="35"/>
      <c r="W22" s="35"/>
      <c r="X22" s="35"/>
      <c r="Y22" s="35"/>
      <c r="Z22" s="35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</row>
    <row r="23" spans="1:65" s="43" customFormat="1" ht="15.75">
      <c r="A23" s="37" t="s">
        <v>31</v>
      </c>
      <c r="B23" s="38" t="s">
        <v>32</v>
      </c>
      <c r="C23" s="39" t="e">
        <f>'Додаток1 скор'!F27</f>
        <v>#REF!</v>
      </c>
      <c r="D23" s="39" t="e">
        <f>'Додаток1 скор'!G27</f>
        <v>#REF!</v>
      </c>
      <c r="E23" s="40" t="e">
        <f>'Додаток1 скор'!H27</f>
        <v>#REF!</v>
      </c>
      <c r="F23" s="40" t="e">
        <f>'Додаток1 скор'!L27</f>
        <v>#REF!</v>
      </c>
      <c r="G23" s="40">
        <v>2027.59</v>
      </c>
      <c r="H23" s="33">
        <f>G23/G45*1000</f>
        <v>13.43409350694646</v>
      </c>
      <c r="I23" s="40">
        <f>T23/V45*I45</f>
        <v>7390.500466815431</v>
      </c>
      <c r="J23" s="33">
        <f>I23/I45*1000</f>
        <v>120.16993621092111</v>
      </c>
      <c r="K23" s="40">
        <f>677.84-182.99</f>
        <v>494.85</v>
      </c>
      <c r="L23" s="33">
        <f>K23/K45*1000</f>
        <v>9.8075376034885</v>
      </c>
      <c r="M23" s="40">
        <f>T23/V45*M45</f>
        <v>1530.8359248156444</v>
      </c>
      <c r="N23" s="33">
        <f>M23/M45*1000</f>
        <v>120.16993621092112</v>
      </c>
      <c r="O23" s="40">
        <v>141.8</v>
      </c>
      <c r="P23" s="33">
        <f>O23/O45*1000</f>
        <v>13.433678554240611</v>
      </c>
      <c r="Q23" s="40">
        <f>T23-M23-I23</f>
        <v>177.27360836892512</v>
      </c>
      <c r="R23" s="33">
        <f>Q23/Q45*1000</f>
        <v>120.16993621092125</v>
      </c>
      <c r="S23" s="41"/>
      <c r="T23" s="40">
        <f>9260.7-182.99+20+0.9</f>
        <v>9098.61</v>
      </c>
      <c r="U23" s="35"/>
      <c r="V23" s="35" t="s">
        <v>225</v>
      </c>
      <c r="W23" s="35"/>
      <c r="X23" s="35"/>
      <c r="Y23" s="35"/>
      <c r="Z23" s="35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</row>
    <row r="24" spans="1:26" s="36" customFormat="1" ht="15.75">
      <c r="A24" s="19" t="s">
        <v>33</v>
      </c>
      <c r="B24" s="31" t="s">
        <v>34</v>
      </c>
      <c r="C24" s="32" t="e">
        <f>'Додаток1 скор'!F28</f>
        <v>#REF!</v>
      </c>
      <c r="D24" s="32" t="e">
        <f>'Додаток1 скор'!G28</f>
        <v>#REF!</v>
      </c>
      <c r="E24" s="33" t="e">
        <f>'Додаток1 скор'!H28</f>
        <v>#REF!</v>
      </c>
      <c r="F24" s="33" t="e">
        <f>'Додаток1 скор'!L28</f>
        <v>#REF!</v>
      </c>
      <c r="G24" s="33">
        <f>G25+G26</f>
        <v>989.25</v>
      </c>
      <c r="H24" s="33">
        <f>G24/G45*1000</f>
        <v>6.554420273204537</v>
      </c>
      <c r="I24" s="33">
        <f>I25+I26</f>
        <v>1120.5222988975115</v>
      </c>
      <c r="J24" s="33">
        <f>I24/I45*1000</f>
        <v>18.21975301754506</v>
      </c>
      <c r="K24" s="33">
        <f>K25+K26</f>
        <v>330.68</v>
      </c>
      <c r="L24" s="33">
        <f>K24/K45*1000</f>
        <v>6.553817388545169</v>
      </c>
      <c r="M24" s="33">
        <f>M25+M26</f>
        <v>232.10008542878322</v>
      </c>
      <c r="N24" s="33">
        <f>M24/M45*1000</f>
        <v>18.21975301754506</v>
      </c>
      <c r="O24" s="33">
        <f>O25+O26</f>
        <v>69.44</v>
      </c>
      <c r="P24" s="33">
        <f>O24/O45*1000-0.01</f>
        <v>6.568523545884823</v>
      </c>
      <c r="Q24" s="33">
        <f>Q25+Q26</f>
        <v>26.877615673705236</v>
      </c>
      <c r="R24" s="33">
        <f>Q24/Q45*1000</f>
        <v>18.219753017545006</v>
      </c>
      <c r="S24" s="34"/>
      <c r="T24" s="34">
        <f>1398-V24</f>
        <v>1379.5</v>
      </c>
      <c r="U24" s="35"/>
      <c r="V24" s="35">
        <v>18.5</v>
      </c>
      <c r="W24" s="35"/>
      <c r="X24" s="35"/>
      <c r="Y24" s="35"/>
      <c r="Z24" s="35"/>
    </row>
    <row r="25" spans="1:65" s="43" customFormat="1" ht="31.5">
      <c r="A25" s="37" t="s">
        <v>35</v>
      </c>
      <c r="B25" s="38" t="s">
        <v>36</v>
      </c>
      <c r="C25" s="39" t="e">
        <f>'Додаток1 скор'!F29</f>
        <v>#REF!</v>
      </c>
      <c r="D25" s="39" t="e">
        <f>'Додаток1 скор'!G29</f>
        <v>#REF!</v>
      </c>
      <c r="E25" s="40" t="e">
        <f>'Додаток1 скор'!H29</f>
        <v>#REF!</v>
      </c>
      <c r="F25" s="40" t="e">
        <f>'Додаток1 скор'!L29</f>
        <v>#REF!</v>
      </c>
      <c r="G25" s="40">
        <v>911.65</v>
      </c>
      <c r="H25" s="33">
        <f>G25/G45*1000</f>
        <v>6.040270146137898</v>
      </c>
      <c r="I25" s="40">
        <f>T25/V45*I45</f>
        <v>550.0671988498693</v>
      </c>
      <c r="J25" s="33">
        <f>I25/I45*1000</f>
        <v>8.944122322204795</v>
      </c>
      <c r="K25" s="40">
        <v>304.74</v>
      </c>
      <c r="L25" s="33">
        <f>K25/K45*1000</f>
        <v>6.039707000681187</v>
      </c>
      <c r="M25" s="40">
        <f>T25/V45*M45</f>
        <v>113.93851239751503</v>
      </c>
      <c r="N25" s="33">
        <f>M25/M45*1000</f>
        <v>8.944122322204795</v>
      </c>
      <c r="O25" s="40">
        <v>64.02</v>
      </c>
      <c r="P25" s="33">
        <f>O25/O45*1000-0.01</f>
        <v>6.055050077873652</v>
      </c>
      <c r="Q25" s="40">
        <f>T25-M25-I25</f>
        <v>13.194288752615535</v>
      </c>
      <c r="R25" s="33">
        <f>Q25/Q45*1000</f>
        <v>8.944122322204741</v>
      </c>
      <c r="S25" s="41"/>
      <c r="T25" s="41">
        <f>562.5+123.8-V25</f>
        <v>677.1999999999999</v>
      </c>
      <c r="U25" s="35"/>
      <c r="V25" s="35">
        <f>7.45+1.65</f>
        <v>9.1</v>
      </c>
      <c r="W25" s="35"/>
      <c r="X25" s="35"/>
      <c r="Y25" s="35"/>
      <c r="Z25" s="35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</row>
    <row r="26" spans="1:65" s="43" customFormat="1" ht="15.75">
      <c r="A26" s="37" t="s">
        <v>37</v>
      </c>
      <c r="B26" s="38" t="s">
        <v>38</v>
      </c>
      <c r="C26" s="39" t="e">
        <f>'Додаток1 скор'!F31</f>
        <v>#REF!</v>
      </c>
      <c r="D26" s="39" t="e">
        <f>'Додаток1 скор'!G31</f>
        <v>#REF!</v>
      </c>
      <c r="E26" s="40" t="e">
        <f>'Додаток1 скор'!H31</f>
        <v>#REF!</v>
      </c>
      <c r="F26" s="40" t="e">
        <f>'Додаток1 скор'!L31</f>
        <v>#REF!</v>
      </c>
      <c r="G26" s="40">
        <v>77.6</v>
      </c>
      <c r="H26" s="33">
        <f>G26/G45*1000</f>
        <v>0.5141501270666383</v>
      </c>
      <c r="I26" s="40">
        <f>T26/V45*I45</f>
        <v>570.4551000476422</v>
      </c>
      <c r="J26" s="33">
        <f>I26/I45*1000</f>
        <v>9.275630695340267</v>
      </c>
      <c r="K26" s="40">
        <v>25.94</v>
      </c>
      <c r="L26" s="33">
        <f>K26/K45*1000</f>
        <v>0.5141103878639823</v>
      </c>
      <c r="M26" s="40">
        <f>T26/V45*M45</f>
        <v>118.16157303126819</v>
      </c>
      <c r="N26" s="33">
        <f>M26/M45*1000</f>
        <v>9.275630695340267</v>
      </c>
      <c r="O26" s="40">
        <v>5.42</v>
      </c>
      <c r="P26" s="33">
        <f>O26/O45*1000</f>
        <v>0.5134734680111713</v>
      </c>
      <c r="Q26" s="40">
        <f>T26-M26-I26</f>
        <v>13.683326921089702</v>
      </c>
      <c r="R26" s="33">
        <f>Q26/Q45*1000</f>
        <v>9.275630695340265</v>
      </c>
      <c r="S26" s="41"/>
      <c r="T26" s="41">
        <f>T24-T25</f>
        <v>702.3000000000001</v>
      </c>
      <c r="U26" s="35"/>
      <c r="V26" s="35">
        <f>V24-V25</f>
        <v>9.4</v>
      </c>
      <c r="W26" s="35"/>
      <c r="X26" s="35"/>
      <c r="Y26" s="35"/>
      <c r="Z26" s="35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</row>
    <row r="27" spans="1:26" s="36" customFormat="1" ht="15.75">
      <c r="A27" s="19" t="s">
        <v>39</v>
      </c>
      <c r="B27" s="31" t="s">
        <v>40</v>
      </c>
      <c r="C27" s="32" t="e">
        <f>'Додаток1 скор'!F32</f>
        <v>#REF!</v>
      </c>
      <c r="D27" s="32" t="e">
        <f>'Додаток1 скор'!G32</f>
        <v>#REF!</v>
      </c>
      <c r="E27" s="33" t="e">
        <f>'Додаток1 скор'!H32</f>
        <v>#REF!</v>
      </c>
      <c r="F27" s="33" t="e">
        <f>'Додаток1 скор'!L32</f>
        <v>#REF!</v>
      </c>
      <c r="G27" s="33">
        <f>G28+G29</f>
        <v>2557.55</v>
      </c>
      <c r="H27" s="33">
        <f>G27/G45*1000-0.01</f>
        <v>16.935420843805165</v>
      </c>
      <c r="I27" s="33">
        <f>I28+I29</f>
        <v>2909.8652291195685</v>
      </c>
      <c r="J27" s="33">
        <f>I27/I45*1000</f>
        <v>47.314565574522234</v>
      </c>
      <c r="K27" s="33">
        <f>K28+K29</f>
        <v>854.9</v>
      </c>
      <c r="L27" s="33">
        <f>K27/K45*1000+0.01</f>
        <v>16.95344528083726</v>
      </c>
      <c r="M27" s="33">
        <f>M28+M29</f>
        <v>602.7367495759862</v>
      </c>
      <c r="N27" s="33">
        <f>M27/M45*1000</f>
        <v>47.31456557452224</v>
      </c>
      <c r="O27" s="33">
        <f>O28+O29</f>
        <v>179.55</v>
      </c>
      <c r="P27" s="33">
        <f>O27/O45*1000</f>
        <v>17.00999283789775</v>
      </c>
      <c r="Q27" s="33">
        <f>Q28+Q29</f>
        <v>69.7980213044458</v>
      </c>
      <c r="R27" s="33">
        <f>Q27/Q45*1000</f>
        <v>47.31456557452275</v>
      </c>
      <c r="S27" s="34"/>
      <c r="T27" s="34">
        <f>3630.5-V27</f>
        <v>3582.4</v>
      </c>
      <c r="U27" s="35"/>
      <c r="V27" s="35">
        <v>48.1</v>
      </c>
      <c r="W27" s="35"/>
      <c r="X27" s="35"/>
      <c r="Y27" s="35"/>
      <c r="Z27" s="35"/>
    </row>
    <row r="28" spans="1:65" s="43" customFormat="1" ht="31.5">
      <c r="A28" s="37" t="s">
        <v>41</v>
      </c>
      <c r="B28" s="38" t="s">
        <v>36</v>
      </c>
      <c r="C28" s="39" t="e">
        <f>'Додаток1 скор'!F33</f>
        <v>#REF!</v>
      </c>
      <c r="D28" s="39" t="e">
        <f>'Додаток1 скор'!G33</f>
        <v>#REF!</v>
      </c>
      <c r="E28" s="40" t="e">
        <f>'Додаток1 скор'!H33</f>
        <v>#REF!</v>
      </c>
      <c r="F28" s="40" t="e">
        <f>'Додаток1 скор'!L33</f>
        <v>#REF!</v>
      </c>
      <c r="G28" s="40">
        <v>2379.75</v>
      </c>
      <c r="H28" s="33">
        <f>G28/G45*1000-0.01</f>
        <v>15.757380990809699</v>
      </c>
      <c r="I28" s="40">
        <f>T28/V45*I45</f>
        <v>2306.4320896842937</v>
      </c>
      <c r="J28" s="33">
        <f>I28/I45*1000</f>
        <v>37.502710180006666</v>
      </c>
      <c r="K28" s="40">
        <v>795.47</v>
      </c>
      <c r="L28" s="33">
        <f>K28/K45*1000</f>
        <v>15.765589446189749</v>
      </c>
      <c r="M28" s="40">
        <f>T28/V45*M45</f>
        <v>477.74424978255155</v>
      </c>
      <c r="N28" s="33">
        <f>M28/M45*1000</f>
        <v>37.502710180006666</v>
      </c>
      <c r="O28" s="40">
        <v>167.12</v>
      </c>
      <c r="P28" s="33">
        <f>O28/O45*1000</f>
        <v>15.83241438635184</v>
      </c>
      <c r="Q28" s="40">
        <f>T28-M28-I28</f>
        <v>55.32366053315491</v>
      </c>
      <c r="R28" s="33">
        <f>Q28/Q45*1000</f>
        <v>37.502710180007135</v>
      </c>
      <c r="S28" s="41"/>
      <c r="T28" s="41">
        <f>2358+519.6-V28</f>
        <v>2839.5</v>
      </c>
      <c r="U28" s="35"/>
      <c r="V28" s="35">
        <f>31.2+6.9</f>
        <v>38.1</v>
      </c>
      <c r="W28" s="35"/>
      <c r="X28" s="35"/>
      <c r="Y28" s="35"/>
      <c r="Z28" s="35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</row>
    <row r="29" spans="1:65" s="43" customFormat="1" ht="15.75">
      <c r="A29" s="37" t="s">
        <v>42</v>
      </c>
      <c r="B29" s="38" t="s">
        <v>38</v>
      </c>
      <c r="C29" s="39" t="e">
        <f>'Додаток1 скор'!F35</f>
        <v>#REF!</v>
      </c>
      <c r="D29" s="39" t="e">
        <f>'Додаток1 скор'!G35</f>
        <v>#REF!</v>
      </c>
      <c r="E29" s="40" t="e">
        <f>'Додаток1 скор'!H35</f>
        <v>#REF!</v>
      </c>
      <c r="F29" s="40" t="e">
        <f>'Додаток1 скор'!L35</f>
        <v>#REF!</v>
      </c>
      <c r="G29" s="40">
        <v>177.8</v>
      </c>
      <c r="H29" s="33">
        <f>G29/G45*1000</f>
        <v>1.1780398529954679</v>
      </c>
      <c r="I29" s="40">
        <f>T29/V45*I45</f>
        <v>603.4331394352746</v>
      </c>
      <c r="J29" s="33">
        <f>I29/I45*1000</f>
        <v>9.811855394515568</v>
      </c>
      <c r="K29" s="40">
        <v>59.43</v>
      </c>
      <c r="L29" s="33">
        <f>K29/K45*1000</f>
        <v>1.1778558346475123</v>
      </c>
      <c r="M29" s="40">
        <f>T29/V45*M45</f>
        <v>124.99249979343463</v>
      </c>
      <c r="N29" s="33">
        <f>M29/M45*1000</f>
        <v>9.811855394515568</v>
      </c>
      <c r="O29" s="40">
        <v>12.43</v>
      </c>
      <c r="P29" s="33">
        <f>O29/O45*1000</f>
        <v>1.1775784515459151</v>
      </c>
      <c r="Q29" s="40">
        <f>T29-M29-I29</f>
        <v>14.47436077129089</v>
      </c>
      <c r="R29" s="33">
        <f>Q29/Q45*1000</f>
        <v>9.811855394515618</v>
      </c>
      <c r="S29" s="41"/>
      <c r="T29" s="41">
        <f>T27-T28</f>
        <v>742.9000000000001</v>
      </c>
      <c r="U29" s="35"/>
      <c r="V29" s="35">
        <f>V27-V28</f>
        <v>10</v>
      </c>
      <c r="W29" s="35"/>
      <c r="X29" s="35"/>
      <c r="Y29" s="35"/>
      <c r="Z29" s="35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</row>
    <row r="30" spans="1:65" ht="15" hidden="1">
      <c r="A30" s="37" t="s">
        <v>43</v>
      </c>
      <c r="B30" s="38" t="s">
        <v>44</v>
      </c>
      <c r="C30" s="32">
        <f>'Додаток1 скор'!F37</f>
        <v>0</v>
      </c>
      <c r="D30" s="32" t="e">
        <f>'Додаток1 скор'!G37</f>
        <v>#REF!</v>
      </c>
      <c r="E30" s="40">
        <f>'Додаток1 скор'!H37</f>
        <v>0</v>
      </c>
      <c r="F30" s="40" t="e">
        <f>'Додаток1 скор'!L37</f>
        <v>#REF!</v>
      </c>
      <c r="G30" s="33"/>
      <c r="H30" s="33" t="e">
        <f>G30/G63*1000</f>
        <v>#DIV/0!</v>
      </c>
      <c r="I30" s="33"/>
      <c r="J30" s="33" t="e">
        <f>I30/I63*1000</f>
        <v>#DIV/0!</v>
      </c>
      <c r="K30" s="33"/>
      <c r="L30" s="33" t="e">
        <f>K30/K63*1000</f>
        <v>#DIV/0!</v>
      </c>
      <c r="M30" s="33"/>
      <c r="N30" s="33" t="e">
        <f>M30/M63*1000</f>
        <v>#DIV/0!</v>
      </c>
      <c r="O30" s="33"/>
      <c r="P30" s="33" t="e">
        <f>O30/O63*1000</f>
        <v>#DIV/0!</v>
      </c>
      <c r="Q30" s="33"/>
      <c r="R30" s="33" t="e">
        <f>Q30/Q63*1000</f>
        <v>#DIV/0!</v>
      </c>
      <c r="S30" s="41"/>
      <c r="T30" s="41"/>
      <c r="U30" s="35"/>
      <c r="V30" s="35"/>
      <c r="W30" s="35"/>
      <c r="X30" s="35"/>
      <c r="Y30" s="35"/>
      <c r="Z30" s="3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</row>
    <row r="31" spans="1:65" ht="15" hidden="1">
      <c r="A31" s="37" t="s">
        <v>45</v>
      </c>
      <c r="B31" s="38" t="s">
        <v>46</v>
      </c>
      <c r="C31" s="32">
        <f>'Додаток1 скор'!F38</f>
        <v>0</v>
      </c>
      <c r="D31" s="32" t="e">
        <f>'Додаток1 скор'!G38</f>
        <v>#REF!</v>
      </c>
      <c r="E31" s="40">
        <f>'Додаток1 скор'!H38</f>
        <v>0</v>
      </c>
      <c r="F31" s="40" t="e">
        <f>'Додаток1 скор'!L38</f>
        <v>#REF!</v>
      </c>
      <c r="G31" s="33"/>
      <c r="H31" s="33" t="e">
        <f>G31/G64*1000</f>
        <v>#DIV/0!</v>
      </c>
      <c r="I31" s="33"/>
      <c r="J31" s="33" t="e">
        <f>I31/I64*1000</f>
        <v>#DIV/0!</v>
      </c>
      <c r="K31" s="33"/>
      <c r="L31" s="33" t="e">
        <f>K31/K64*1000</f>
        <v>#DIV/0!</v>
      </c>
      <c r="M31" s="33"/>
      <c r="N31" s="33" t="e">
        <f>M31/M64*1000</f>
        <v>#DIV/0!</v>
      </c>
      <c r="O31" s="33"/>
      <c r="P31" s="33" t="e">
        <f>O31/O64*1000</f>
        <v>#DIV/0!</v>
      </c>
      <c r="Q31" s="33"/>
      <c r="R31" s="33" t="e">
        <f>Q31/Q64*1000</f>
        <v>#DIV/0!</v>
      </c>
      <c r="S31" s="41"/>
      <c r="T31" s="41"/>
      <c r="U31" s="35"/>
      <c r="V31" s="35"/>
      <c r="W31" s="35"/>
      <c r="X31" s="35"/>
      <c r="Y31" s="35"/>
      <c r="Z31" s="3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</row>
    <row r="32" spans="1:65" ht="15" hidden="1">
      <c r="A32" s="37" t="s">
        <v>47</v>
      </c>
      <c r="B32" s="38" t="s">
        <v>38</v>
      </c>
      <c r="C32" s="32">
        <f>'Додаток1 скор'!F39</f>
        <v>0</v>
      </c>
      <c r="D32" s="32" t="e">
        <f>'Додаток1 скор'!G39</f>
        <v>#REF!</v>
      </c>
      <c r="E32" s="40">
        <f>'Додаток1 скор'!H39</f>
        <v>0</v>
      </c>
      <c r="F32" s="40" t="e">
        <f>'Додаток1 скор'!L39</f>
        <v>#REF!</v>
      </c>
      <c r="G32" s="33"/>
      <c r="H32" s="33" t="e">
        <f>G32/G65*1000</f>
        <v>#DIV/0!</v>
      </c>
      <c r="I32" s="33"/>
      <c r="J32" s="33" t="e">
        <f>I32/I65*1000</f>
        <v>#DIV/0!</v>
      </c>
      <c r="K32" s="33"/>
      <c r="L32" s="33" t="e">
        <f>K32/K65*1000</f>
        <v>#DIV/0!</v>
      </c>
      <c r="M32" s="33"/>
      <c r="N32" s="33" t="e">
        <f>M32/M65*1000</f>
        <v>#DIV/0!</v>
      </c>
      <c r="O32" s="33"/>
      <c r="P32" s="33" t="e">
        <f>O32/O65*1000</f>
        <v>#DIV/0!</v>
      </c>
      <c r="Q32" s="33"/>
      <c r="R32" s="33" t="e">
        <f>Q32/Q65*1000</f>
        <v>#DIV/0!</v>
      </c>
      <c r="S32" s="41"/>
      <c r="T32" s="41"/>
      <c r="U32" s="35"/>
      <c r="V32" s="35"/>
      <c r="W32" s="35"/>
      <c r="X32" s="35"/>
      <c r="Y32" s="35"/>
      <c r="Z32" s="3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1:26" s="36" customFormat="1" ht="15.75">
      <c r="A33" s="19">
        <v>3</v>
      </c>
      <c r="B33" s="31" t="s">
        <v>48</v>
      </c>
      <c r="C33" s="32" t="e">
        <f>'Додаток1 скор'!F40</f>
        <v>#REF!</v>
      </c>
      <c r="D33" s="32" t="e">
        <f>'Додаток1 скор'!G40</f>
        <v>#REF!</v>
      </c>
      <c r="E33" s="33" t="e">
        <f>'Додаток1 скор'!H40</f>
        <v>#REF!</v>
      </c>
      <c r="F33" s="33" t="e">
        <f>'Додаток1 скор'!L40</f>
        <v>#REF!</v>
      </c>
      <c r="G33" s="33">
        <v>0</v>
      </c>
      <c r="H33" s="33">
        <f>G33/G45*1000</f>
        <v>0</v>
      </c>
      <c r="I33" s="33">
        <v>0</v>
      </c>
      <c r="J33" s="33">
        <f>I33/I45*1000</f>
        <v>0</v>
      </c>
      <c r="K33" s="33">
        <v>0</v>
      </c>
      <c r="L33" s="33">
        <f>K33/K45*1000</f>
        <v>0</v>
      </c>
      <c r="M33" s="33">
        <v>0</v>
      </c>
      <c r="N33" s="33">
        <f>M33/M45*1000</f>
        <v>0</v>
      </c>
      <c r="O33" s="33">
        <v>0</v>
      </c>
      <c r="P33" s="33">
        <f>O33/O45*1000</f>
        <v>0</v>
      </c>
      <c r="Q33" s="33">
        <v>0</v>
      </c>
      <c r="R33" s="33">
        <f>Q33/Q45*1000</f>
        <v>0</v>
      </c>
      <c r="S33" s="34"/>
      <c r="T33" s="34"/>
      <c r="U33" s="35"/>
      <c r="V33" s="35"/>
      <c r="W33" s="35"/>
      <c r="X33" s="35"/>
      <c r="Y33" s="35"/>
      <c r="Z33" s="35"/>
    </row>
    <row r="34" spans="1:26" s="36" customFormat="1" ht="15">
      <c r="A34" s="19">
        <v>4</v>
      </c>
      <c r="B34" s="31" t="s">
        <v>49</v>
      </c>
      <c r="C34" s="32" t="e">
        <f>'Додаток1 скор'!F41</f>
        <v>#REF!</v>
      </c>
      <c r="D34" s="32" t="e">
        <f>'Додаток1 скор'!G41</f>
        <v>#REF!</v>
      </c>
      <c r="E34" s="33" t="e">
        <f>'Додаток1 скор'!H41</f>
        <v>#REF!</v>
      </c>
      <c r="F34" s="33" t="e">
        <f>'Додаток1 скор'!L41</f>
        <v>#REF!</v>
      </c>
      <c r="G34" s="33">
        <v>0</v>
      </c>
      <c r="H34" s="33">
        <f>G34/G45*1000</f>
        <v>0</v>
      </c>
      <c r="I34" s="33">
        <v>0</v>
      </c>
      <c r="J34" s="33">
        <f>I34/I45*1000</f>
        <v>0</v>
      </c>
      <c r="K34" s="33">
        <v>0</v>
      </c>
      <c r="L34" s="33">
        <f>K34/K45*1000</f>
        <v>0</v>
      </c>
      <c r="M34" s="33">
        <v>0</v>
      </c>
      <c r="N34" s="33">
        <f>M34/M45*1000</f>
        <v>0</v>
      </c>
      <c r="O34" s="33">
        <v>0</v>
      </c>
      <c r="P34" s="33">
        <f>O34/O45*1000</f>
        <v>0</v>
      </c>
      <c r="Q34" s="33">
        <v>0</v>
      </c>
      <c r="R34" s="33">
        <f>Q34/Q45*1000</f>
        <v>0</v>
      </c>
      <c r="S34" s="34"/>
      <c r="T34" s="34"/>
      <c r="U34" s="35"/>
      <c r="V34" s="35"/>
      <c r="W34" s="35"/>
      <c r="X34" s="35"/>
      <c r="Y34" s="35"/>
      <c r="Z34" s="35"/>
    </row>
    <row r="35" spans="1:26" s="36" customFormat="1" ht="15">
      <c r="A35" s="19">
        <v>5</v>
      </c>
      <c r="B35" s="31" t="s">
        <v>50</v>
      </c>
      <c r="C35" s="32" t="e">
        <f>'Додаток1 скор'!F42</f>
        <v>#REF!</v>
      </c>
      <c r="D35" s="32" t="e">
        <f>'Додаток1 скор'!G42</f>
        <v>#REF!</v>
      </c>
      <c r="E35" s="33" t="e">
        <f>'Додаток1 скор'!H42</f>
        <v>#REF!</v>
      </c>
      <c r="F35" s="33" t="e">
        <f>'Додаток1 скор'!L42</f>
        <v>#REF!</v>
      </c>
      <c r="G35" s="33">
        <f>G12+G27-0.01</f>
        <v>213613.50999999998</v>
      </c>
      <c r="H35" s="33">
        <f>G35/G45*1000-0.01</f>
        <v>1415.317491103745</v>
      </c>
      <c r="I35" s="33">
        <f>I12+I27</f>
        <v>99696.77568209564</v>
      </c>
      <c r="J35" s="33">
        <f>I35/I45*1000</f>
        <v>1621.0749499234346</v>
      </c>
      <c r="K35" s="33">
        <f>K12+K27</f>
        <v>71370.13999999998</v>
      </c>
      <c r="L35" s="33">
        <f>K35/K45*1000</f>
        <v>1414.500013774353</v>
      </c>
      <c r="M35" s="33">
        <f>M12+M27</f>
        <v>20792.959483805007</v>
      </c>
      <c r="N35" s="33">
        <f>M35/M45*1000</f>
        <v>1632.238030412062</v>
      </c>
      <c r="O35" s="33">
        <f>O12+O27</f>
        <v>14922.390000000003</v>
      </c>
      <c r="P35" s="33">
        <f>O35/O45*1000</f>
        <v>1413.6995100212594</v>
      </c>
      <c r="Q35" s="33">
        <f>Q12+Q27</f>
        <v>2381.684834099347</v>
      </c>
      <c r="R35" s="33">
        <f>Q35/Q45*1000</f>
        <v>1614.4925193411207</v>
      </c>
      <c r="S35" s="34"/>
      <c r="T35" s="34">
        <f>T27+T12</f>
        <v>122871.42</v>
      </c>
      <c r="U35" s="35"/>
      <c r="V35" s="35"/>
      <c r="W35" s="35"/>
      <c r="X35" s="35"/>
      <c r="Y35" s="35"/>
      <c r="Z35" s="35"/>
    </row>
    <row r="36" spans="1:26" s="36" customFormat="1" ht="15">
      <c r="A36" s="19">
        <v>6</v>
      </c>
      <c r="B36" s="31" t="s">
        <v>51</v>
      </c>
      <c r="C36" s="32"/>
      <c r="D36" s="32"/>
      <c r="E36" s="33"/>
      <c r="F36" s="33"/>
      <c r="G36" s="33">
        <v>0</v>
      </c>
      <c r="H36" s="33">
        <f>G36/G45*1000</f>
        <v>0</v>
      </c>
      <c r="I36" s="33">
        <v>0</v>
      </c>
      <c r="J36" s="33">
        <f>I36/I45*1000</f>
        <v>0</v>
      </c>
      <c r="K36" s="33">
        <v>0</v>
      </c>
      <c r="L36" s="33">
        <f>K36/K45*1000</f>
        <v>0</v>
      </c>
      <c r="M36" s="33">
        <v>0</v>
      </c>
      <c r="N36" s="33">
        <f>M36/M45*1000</f>
        <v>0</v>
      </c>
      <c r="O36" s="33">
        <v>0</v>
      </c>
      <c r="P36" s="33">
        <f>O36/O45*1000</f>
        <v>0</v>
      </c>
      <c r="Q36" s="33">
        <v>0</v>
      </c>
      <c r="R36" s="33">
        <f>Q36/Q45*1000</f>
        <v>0</v>
      </c>
      <c r="S36" s="34"/>
      <c r="T36" s="34">
        <f>I43+M43+Q43</f>
        <v>122871.42</v>
      </c>
      <c r="U36" s="35"/>
      <c r="V36" s="35"/>
      <c r="W36" s="35"/>
      <c r="X36" s="35"/>
      <c r="Y36" s="35"/>
      <c r="Z36" s="35"/>
    </row>
    <row r="37" spans="1:26" s="36" customFormat="1" ht="15">
      <c r="A37" s="19">
        <v>7</v>
      </c>
      <c r="B37" s="45" t="s">
        <v>52</v>
      </c>
      <c r="C37" s="32" t="e">
        <f>'Додаток1 скор'!F43</f>
        <v>#REF!</v>
      </c>
      <c r="D37" s="32" t="e">
        <f>'Додаток1 скор'!G43</f>
        <v>#REF!</v>
      </c>
      <c r="E37" s="33" t="e">
        <f>'Додаток1 скор'!H43</f>
        <v>#REF!</v>
      </c>
      <c r="F37" s="33" t="e">
        <f>'Додаток1 скор'!L43</f>
        <v>#REF!</v>
      </c>
      <c r="G37" s="33">
        <v>0</v>
      </c>
      <c r="H37" s="33">
        <f>G37/G45*1000</f>
        <v>0</v>
      </c>
      <c r="I37" s="33">
        <v>0</v>
      </c>
      <c r="J37" s="33">
        <f>I37/I45*1000</f>
        <v>0</v>
      </c>
      <c r="K37" s="33">
        <v>0</v>
      </c>
      <c r="L37" s="33">
        <f>K37/K45*1000</f>
        <v>0</v>
      </c>
      <c r="M37" s="33">
        <v>0</v>
      </c>
      <c r="N37" s="33">
        <f>M37/M45*1000</f>
        <v>0</v>
      </c>
      <c r="O37" s="33">
        <v>0</v>
      </c>
      <c r="P37" s="33">
        <f>O37/O45*1000</f>
        <v>0</v>
      </c>
      <c r="Q37" s="33">
        <v>0</v>
      </c>
      <c r="R37" s="33">
        <f>Q37/Q45*1000</f>
        <v>0</v>
      </c>
      <c r="S37" s="34"/>
      <c r="T37" s="34"/>
      <c r="U37" s="35"/>
      <c r="V37" s="35"/>
      <c r="W37" s="35"/>
      <c r="X37" s="35"/>
      <c r="Y37" s="35"/>
      <c r="Z37" s="35"/>
    </row>
    <row r="38" spans="1:65" ht="15" hidden="1">
      <c r="A38" s="37" t="s">
        <v>53</v>
      </c>
      <c r="B38" s="38" t="s">
        <v>54</v>
      </c>
      <c r="C38" s="39" t="e">
        <f>'Додаток1 скор'!F44</f>
        <v>#REF!</v>
      </c>
      <c r="D38" s="39" t="e">
        <f>'Додаток1 скор'!G44</f>
        <v>#REF!</v>
      </c>
      <c r="E38" s="40" t="e">
        <f>'Додаток1 скор'!H44</f>
        <v>#REF!</v>
      </c>
      <c r="F38" s="40" t="e">
        <f>'Додаток1 скор'!L44</f>
        <v>#REF!</v>
      </c>
      <c r="G38" s="40"/>
      <c r="H38" s="33">
        <f>G38/G45*1000</f>
        <v>0</v>
      </c>
      <c r="I38" s="40"/>
      <c r="J38" s="33">
        <f>I38/I45*1000</f>
        <v>0</v>
      </c>
      <c r="K38" s="40"/>
      <c r="L38" s="33">
        <f>K38/K45*1000</f>
        <v>0</v>
      </c>
      <c r="M38" s="40"/>
      <c r="N38" s="33">
        <f>M38/M45*1000</f>
        <v>0</v>
      </c>
      <c r="O38" s="40"/>
      <c r="P38" s="33">
        <f>O38/O45*1000</f>
        <v>0</v>
      </c>
      <c r="Q38" s="40"/>
      <c r="R38" s="33">
        <f>Q38/Q45*1000</f>
        <v>0</v>
      </c>
      <c r="S38" s="41"/>
      <c r="T38" s="41"/>
      <c r="U38" s="35"/>
      <c r="V38" s="35"/>
      <c r="W38" s="35"/>
      <c r="X38" s="35"/>
      <c r="Y38" s="35"/>
      <c r="Z38" s="35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</row>
    <row r="39" spans="1:65" ht="15" hidden="1">
      <c r="A39" s="37" t="s">
        <v>55</v>
      </c>
      <c r="B39" s="38" t="s">
        <v>56</v>
      </c>
      <c r="C39" s="39" t="e">
        <f>'Додаток1 скор'!F45</f>
        <v>#REF!</v>
      </c>
      <c r="D39" s="39" t="e">
        <f>'Додаток1 скор'!G45</f>
        <v>#REF!</v>
      </c>
      <c r="E39" s="40" t="e">
        <f>'Додаток1 скор'!H45</f>
        <v>#REF!</v>
      </c>
      <c r="F39" s="40" t="e">
        <f>'Додаток1 скор'!L45</f>
        <v>#REF!</v>
      </c>
      <c r="G39" s="40"/>
      <c r="H39" s="33" t="e">
        <f>G39/G72*1000</f>
        <v>#DIV/0!</v>
      </c>
      <c r="I39" s="40"/>
      <c r="J39" s="33" t="e">
        <f>I39/I72*1000</f>
        <v>#DIV/0!</v>
      </c>
      <c r="K39" s="40"/>
      <c r="L39" s="33" t="e">
        <f>K39/K72*1000</f>
        <v>#DIV/0!</v>
      </c>
      <c r="M39" s="40"/>
      <c r="N39" s="33" t="e">
        <f>M39/M72*1000</f>
        <v>#DIV/0!</v>
      </c>
      <c r="O39" s="40"/>
      <c r="P39" s="33" t="e">
        <f>O39/O72*1000</f>
        <v>#DIV/0!</v>
      </c>
      <c r="Q39" s="40"/>
      <c r="R39" s="33" t="e">
        <f>Q39/Q72*1000</f>
        <v>#DIV/0!</v>
      </c>
      <c r="S39" s="41"/>
      <c r="T39" s="41"/>
      <c r="U39" s="35"/>
      <c r="V39" s="35"/>
      <c r="W39" s="35"/>
      <c r="X39" s="35"/>
      <c r="Y39" s="35"/>
      <c r="Z39" s="35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1:65" ht="15" hidden="1">
      <c r="A40" s="37" t="s">
        <v>55</v>
      </c>
      <c r="B40" s="38" t="str">
        <f>'Додаток2 скор'!B45</f>
        <v>резервний фонд (капітал) та дивіденди </v>
      </c>
      <c r="C40" s="39" t="e">
        <f>'Додаток1 скор'!F46</f>
        <v>#REF!</v>
      </c>
      <c r="D40" s="39" t="e">
        <f>'Додаток1 скор'!G46</f>
        <v>#REF!</v>
      </c>
      <c r="E40" s="40" t="e">
        <f>'Додаток1 скор'!H46</f>
        <v>#REF!</v>
      </c>
      <c r="F40" s="40" t="e">
        <f>'Додаток1 скор'!L46</f>
        <v>#REF!</v>
      </c>
      <c r="G40" s="40"/>
      <c r="H40" s="33">
        <f>G40/G45*1000</f>
        <v>0</v>
      </c>
      <c r="I40" s="40"/>
      <c r="J40" s="33">
        <f>I40/I45*1000</f>
        <v>0</v>
      </c>
      <c r="K40" s="40"/>
      <c r="L40" s="33">
        <f>K40/K45*1000</f>
        <v>0</v>
      </c>
      <c r="M40" s="40"/>
      <c r="N40" s="33">
        <f>M40/M45*1000</f>
        <v>0</v>
      </c>
      <c r="O40" s="40"/>
      <c r="P40" s="33">
        <f>O40/O45*1000</f>
        <v>0</v>
      </c>
      <c r="Q40" s="40"/>
      <c r="R40" s="33">
        <f>Q40/Q45*1000</f>
        <v>0</v>
      </c>
      <c r="S40" s="41"/>
      <c r="T40" s="41"/>
      <c r="U40" s="35"/>
      <c r="V40" s="35"/>
      <c r="W40" s="35"/>
      <c r="X40" s="35"/>
      <c r="Y40" s="35"/>
      <c r="Z40" s="35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</row>
    <row r="41" spans="1:65" ht="15" hidden="1">
      <c r="A41" s="37" t="s">
        <v>57</v>
      </c>
      <c r="B41" s="38" t="s">
        <v>58</v>
      </c>
      <c r="C41" s="39" t="e">
        <f>'Додаток1 скор'!F47</f>
        <v>#REF!</v>
      </c>
      <c r="D41" s="39" t="e">
        <f>'Додаток1 скор'!G47</f>
        <v>#REF!</v>
      </c>
      <c r="E41" s="40" t="e">
        <f>'Додаток1 скор'!H47</f>
        <v>#REF!</v>
      </c>
      <c r="F41" s="40" t="e">
        <f>'Додаток1 скор'!L47</f>
        <v>#REF!</v>
      </c>
      <c r="G41" s="40"/>
      <c r="H41" s="33">
        <f>G41/G45*1000</f>
        <v>0</v>
      </c>
      <c r="I41" s="40"/>
      <c r="J41" s="33">
        <f>I41/I45*1000</f>
        <v>0</v>
      </c>
      <c r="K41" s="40"/>
      <c r="L41" s="33">
        <f>K41/K45*1000</f>
        <v>0</v>
      </c>
      <c r="M41" s="40"/>
      <c r="N41" s="33">
        <f>M41/M45*1000</f>
        <v>0</v>
      </c>
      <c r="O41" s="40"/>
      <c r="P41" s="33">
        <f>O41/O45*1000</f>
        <v>0</v>
      </c>
      <c r="Q41" s="40"/>
      <c r="R41" s="33">
        <f>Q41/Q45*1000</f>
        <v>0</v>
      </c>
      <c r="S41" s="41"/>
      <c r="T41" s="41"/>
      <c r="U41" s="35"/>
      <c r="V41" s="35"/>
      <c r="W41" s="35"/>
      <c r="X41" s="35"/>
      <c r="Y41" s="35"/>
      <c r="Z41" s="35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</row>
    <row r="42" spans="1:65" ht="15" hidden="1">
      <c r="A42" s="37" t="s">
        <v>59</v>
      </c>
      <c r="B42" s="38" t="str">
        <f>'Додаток2 скор'!B47</f>
        <v>інше використання прибутку (прибуток у тарифах НКРЕ)</v>
      </c>
      <c r="C42" s="39" t="e">
        <f>'Додаток1 скор'!F48</f>
        <v>#REF!</v>
      </c>
      <c r="D42" s="39" t="e">
        <f>'Додаток1 скор'!G48</f>
        <v>#REF!</v>
      </c>
      <c r="E42" s="40" t="e">
        <f>'Додаток1 скор'!H48</f>
        <v>#REF!</v>
      </c>
      <c r="F42" s="40" t="e">
        <f>'Додаток1 скор'!L48</f>
        <v>#REF!</v>
      </c>
      <c r="G42" s="40"/>
      <c r="H42" s="33">
        <f>G42/G45*1000</f>
        <v>0</v>
      </c>
      <c r="I42" s="40"/>
      <c r="J42" s="33">
        <f>I42/I45*1000</f>
        <v>0</v>
      </c>
      <c r="K42" s="40"/>
      <c r="L42" s="33">
        <f>K42/K45*1000</f>
        <v>0</v>
      </c>
      <c r="M42" s="40"/>
      <c r="N42" s="33">
        <f>M42/M45*1000</f>
        <v>0</v>
      </c>
      <c r="O42" s="40"/>
      <c r="P42" s="33">
        <f>O42/O45*1000</f>
        <v>0</v>
      </c>
      <c r="Q42" s="40"/>
      <c r="R42" s="33">
        <f>Q42/Q45*1000</f>
        <v>0</v>
      </c>
      <c r="S42" s="41"/>
      <c r="T42" s="41"/>
      <c r="U42" s="35"/>
      <c r="V42" s="35"/>
      <c r="W42" s="35"/>
      <c r="X42" s="35"/>
      <c r="Y42" s="35"/>
      <c r="Z42" s="35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</row>
    <row r="43" spans="1:26" s="36" customFormat="1" ht="15">
      <c r="A43" s="19">
        <v>8</v>
      </c>
      <c r="B43" s="31" t="s">
        <v>60</v>
      </c>
      <c r="C43" s="32" t="e">
        <f>'Додаток1 скор'!F49</f>
        <v>#REF!</v>
      </c>
      <c r="D43" s="32" t="e">
        <f>'Додаток1 скор'!G49</f>
        <v>#REF!</v>
      </c>
      <c r="E43" s="33" t="e">
        <f>'Додаток1 скор'!H49</f>
        <v>#REF!</v>
      </c>
      <c r="F43" s="33" t="e">
        <f>'Додаток1 скор'!L49</f>
        <v>#REF!</v>
      </c>
      <c r="G43" s="33">
        <f>G35+G36+G37</f>
        <v>213613.50999999998</v>
      </c>
      <c r="H43" s="33">
        <f>G43/G45*1000-0.01</f>
        <v>1415.317491103745</v>
      </c>
      <c r="I43" s="33">
        <f>I35+I36+I37</f>
        <v>99696.77568209564</v>
      </c>
      <c r="J43" s="33">
        <f>I43/I45*1000</f>
        <v>1621.0749499234346</v>
      </c>
      <c r="K43" s="33">
        <f>K35+K36+K37</f>
        <v>71370.13999999998</v>
      </c>
      <c r="L43" s="33">
        <f>K43/K45*1000</f>
        <v>1414.500013774353</v>
      </c>
      <c r="M43" s="33">
        <f>M35+M36+M37</f>
        <v>20792.959483805007</v>
      </c>
      <c r="N43" s="33">
        <f>M43/M45*1000</f>
        <v>1632.238030412062</v>
      </c>
      <c r="O43" s="33">
        <f>O35+O36+O37</f>
        <v>14922.390000000003</v>
      </c>
      <c r="P43" s="33">
        <f>O43/O45*1000</f>
        <v>1413.6995100212594</v>
      </c>
      <c r="Q43" s="33">
        <f>Q35+Q36+Q37</f>
        <v>2381.684834099347</v>
      </c>
      <c r="R43" s="33">
        <f>Q43/Q45*1000</f>
        <v>1614.4925193411207</v>
      </c>
      <c r="S43" s="34"/>
      <c r="T43" s="34"/>
      <c r="U43" s="35"/>
      <c r="V43" s="35"/>
      <c r="W43" s="35"/>
      <c r="X43" s="35"/>
      <c r="Y43" s="35"/>
      <c r="Z43" s="35"/>
    </row>
    <row r="44" spans="1:23" s="36" customFormat="1" ht="15">
      <c r="A44" s="19">
        <v>9</v>
      </c>
      <c r="B44" s="31" t="s">
        <v>227</v>
      </c>
      <c r="C44" s="32"/>
      <c r="D44" s="33" t="e">
        <f>D43</f>
        <v>#REF!</v>
      </c>
      <c r="E44" s="33"/>
      <c r="F44" s="33" t="e">
        <f>F35+F37</f>
        <v>#REF!</v>
      </c>
      <c r="G44" s="33">
        <f>G43</f>
        <v>213613.50999999998</v>
      </c>
      <c r="H44" s="33"/>
      <c r="I44" s="33">
        <v>72425.9</v>
      </c>
      <c r="J44" s="33"/>
      <c r="K44" s="33">
        <f>K43</f>
        <v>71370.13999999998</v>
      </c>
      <c r="L44" s="33"/>
      <c r="M44" s="33">
        <v>24717.16</v>
      </c>
      <c r="N44" s="33"/>
      <c r="O44" s="33">
        <f>O43</f>
        <v>14922.390000000003</v>
      </c>
      <c r="P44" s="33"/>
      <c r="Q44" s="33">
        <v>2894.4</v>
      </c>
      <c r="R44" s="33"/>
      <c r="S44" s="34"/>
      <c r="T44" s="34"/>
      <c r="U44" s="35"/>
      <c r="V44" s="35"/>
      <c r="W44" s="35"/>
    </row>
    <row r="45" spans="1:22" s="36" customFormat="1" ht="15.75" customHeight="1">
      <c r="A45" s="19">
        <v>10</v>
      </c>
      <c r="B45" s="31" t="s">
        <v>61</v>
      </c>
      <c r="C45" s="32">
        <f>G45+L45+E45</f>
        <v>301857.36</v>
      </c>
      <c r="D45" s="32"/>
      <c r="E45" s="33">
        <f>'Додаток2 скор'!H50</f>
        <v>150928.68</v>
      </c>
      <c r="F45" s="33"/>
      <c r="G45" s="33">
        <v>150928.68</v>
      </c>
      <c r="H45" s="33"/>
      <c r="I45" s="33">
        <v>61500.411</v>
      </c>
      <c r="J45" s="33"/>
      <c r="K45" s="33">
        <v>50456.09</v>
      </c>
      <c r="L45" s="33"/>
      <c r="M45" s="33">
        <v>12738.926</v>
      </c>
      <c r="N45" s="33"/>
      <c r="O45" s="33">
        <v>10555.56</v>
      </c>
      <c r="P45" s="33"/>
      <c r="Q45" s="33">
        <f>1472.368+2.823</f>
        <v>1475.191</v>
      </c>
      <c r="R45" s="33"/>
      <c r="U45" s="35"/>
      <c r="V45" s="35">
        <f>I45+M45+Q45</f>
        <v>75714.528</v>
      </c>
    </row>
    <row r="46" spans="1:22" s="36" customFormat="1" ht="18" customHeight="1">
      <c r="A46" s="19">
        <v>11</v>
      </c>
      <c r="B46" s="48" t="str">
        <f>'Додаток2 скор'!B51</f>
        <v>Рівень рентабельності, %</v>
      </c>
      <c r="C46" s="32" t="e">
        <f>C37/C35*100</f>
        <v>#REF!</v>
      </c>
      <c r="D46" s="32" t="e">
        <f>D37/D35*100</f>
        <v>#REF!</v>
      </c>
      <c r="E46" s="32" t="e">
        <f>E37/E35*100</f>
        <v>#REF!</v>
      </c>
      <c r="F46" s="32" t="e">
        <f>F37/F35*100</f>
        <v>#REF!</v>
      </c>
      <c r="G46" s="32">
        <v>0</v>
      </c>
      <c r="H46" s="32"/>
      <c r="I46" s="32"/>
      <c r="J46" s="32"/>
      <c r="K46" s="32">
        <v>0</v>
      </c>
      <c r="L46" s="32"/>
      <c r="M46" s="32"/>
      <c r="N46" s="237"/>
      <c r="O46" s="47">
        <v>0</v>
      </c>
      <c r="P46" s="47"/>
      <c r="Q46" s="46"/>
      <c r="R46" s="46"/>
      <c r="T46" s="36" t="s">
        <v>228</v>
      </c>
      <c r="U46" s="35"/>
      <c r="V46" s="35"/>
    </row>
    <row r="47" spans="1:22" s="50" customFormat="1" ht="39" customHeight="1">
      <c r="A47" s="263" t="s">
        <v>234</v>
      </c>
      <c r="B47" s="263"/>
      <c r="C47" s="263"/>
      <c r="D47" s="263"/>
      <c r="E47" s="263"/>
      <c r="F47" s="263"/>
      <c r="G47" s="49"/>
      <c r="H47" s="264"/>
      <c r="I47" s="264"/>
      <c r="J47" s="264"/>
      <c r="K47" s="264"/>
      <c r="L47" s="264"/>
      <c r="M47" s="264"/>
      <c r="N47" s="265" t="s">
        <v>235</v>
      </c>
      <c r="O47" s="265"/>
      <c r="P47" s="265"/>
      <c r="T47" s="254">
        <f>I43+M43+Q43+послуга!E26</f>
        <v>124519.47</v>
      </c>
      <c r="V47" s="253"/>
    </row>
    <row r="48" spans="1:12" s="53" customFormat="1" ht="13.5" hidden="1">
      <c r="A48" s="51"/>
      <c r="B48" s="257" t="s">
        <v>62</v>
      </c>
      <c r="C48" s="257"/>
      <c r="D48" s="257"/>
      <c r="E48" s="257"/>
      <c r="F48" s="257"/>
      <c r="L48" s="52" t="s">
        <v>63</v>
      </c>
    </row>
    <row r="49" spans="1:16" s="50" customFormat="1" ht="35.25" customHeight="1">
      <c r="A49" s="255"/>
      <c r="B49" s="256" t="s">
        <v>229</v>
      </c>
      <c r="C49" s="256"/>
      <c r="D49" s="256"/>
      <c r="E49" s="256"/>
      <c r="F49" s="256"/>
      <c r="N49" s="269" t="s">
        <v>230</v>
      </c>
      <c r="O49" s="269"/>
      <c r="P49" s="269"/>
    </row>
    <row r="51" spans="2:7" ht="12.75" hidden="1">
      <c r="B51" s="21" t="s">
        <v>64</v>
      </c>
      <c r="G51" s="2" t="s">
        <v>65</v>
      </c>
    </row>
  </sheetData>
  <sheetProtection selectLockedCells="1" selectUnlockedCells="1"/>
  <mergeCells count="20">
    <mergeCell ref="N49:P49"/>
    <mergeCell ref="Q9:R9"/>
    <mergeCell ref="O8:R8"/>
    <mergeCell ref="I9:J9"/>
    <mergeCell ref="G8:J8"/>
    <mergeCell ref="K9:L9"/>
    <mergeCell ref="M9:N9"/>
    <mergeCell ref="O9:P9"/>
    <mergeCell ref="K8:N8"/>
    <mergeCell ref="G9:H9"/>
    <mergeCell ref="A47:F47"/>
    <mergeCell ref="H47:M47"/>
    <mergeCell ref="N47:P47"/>
    <mergeCell ref="A5:M5"/>
    <mergeCell ref="A6:M6"/>
    <mergeCell ref="B7:H7"/>
    <mergeCell ref="A8:A10"/>
    <mergeCell ref="B8:B10"/>
    <mergeCell ref="C8:D8"/>
    <mergeCell ref="E8:F8"/>
  </mergeCells>
  <printOptions horizontalCentered="1"/>
  <pageMargins left="0.15763888888888888" right="0.15763888888888888" top="0.31527777777777777" bottom="0.3541666666666667" header="0.5118055555555555" footer="0.5118055555555555"/>
  <pageSetup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8">
      <selection activeCell="E25" sqref="E25"/>
    </sheetView>
  </sheetViews>
  <sheetFormatPr defaultColWidth="11.57421875" defaultRowHeight="12.75"/>
  <cols>
    <col min="1" max="1" width="4.00390625" style="239" customWidth="1"/>
    <col min="2" max="2" width="26.140625" style="239" customWidth="1"/>
    <col min="3" max="3" width="7.57421875" style="239" customWidth="1"/>
    <col min="4" max="4" width="18.00390625" style="239" customWidth="1"/>
    <col min="5" max="5" width="16.57421875" style="239" customWidth="1"/>
    <col min="6" max="16384" width="11.57421875" style="239" customWidth="1"/>
  </cols>
  <sheetData>
    <row r="1" ht="7.5" customHeight="1">
      <c r="A1" s="238"/>
    </row>
    <row r="2" spans="2:5" ht="48" customHeight="1">
      <c r="B2" s="280" t="s">
        <v>239</v>
      </c>
      <c r="C2" s="280"/>
      <c r="D2" s="280"/>
      <c r="E2" s="280"/>
    </row>
    <row r="3" ht="10.5" customHeight="1">
      <c r="E3" s="239" t="s">
        <v>232</v>
      </c>
    </row>
    <row r="4" spans="1:5" ht="36.75" customHeight="1">
      <c r="A4" s="240" t="s">
        <v>203</v>
      </c>
      <c r="B4" s="240" t="s">
        <v>204</v>
      </c>
      <c r="C4" s="240" t="s">
        <v>205</v>
      </c>
      <c r="D4" s="240" t="s">
        <v>238</v>
      </c>
      <c r="E4" s="240" t="s">
        <v>240</v>
      </c>
    </row>
    <row r="5" spans="1:5" s="238" customFormat="1" ht="15">
      <c r="A5" s="241">
        <v>1</v>
      </c>
      <c r="B5" s="242" t="s">
        <v>206</v>
      </c>
      <c r="C5" s="241" t="s">
        <v>207</v>
      </c>
      <c r="D5" s="241">
        <v>1.51</v>
      </c>
      <c r="E5" s="241">
        <v>0.9</v>
      </c>
    </row>
    <row r="6" spans="1:5" s="238" customFormat="1" ht="15">
      <c r="A6" s="241">
        <v>2</v>
      </c>
      <c r="B6" s="242" t="s">
        <v>233</v>
      </c>
      <c r="C6" s="241" t="s">
        <v>208</v>
      </c>
      <c r="D6" s="241">
        <v>2.01</v>
      </c>
      <c r="E6" s="241">
        <v>0.65</v>
      </c>
    </row>
    <row r="7" spans="1:5" s="238" customFormat="1" ht="27" hidden="1">
      <c r="A7" s="241">
        <v>3</v>
      </c>
      <c r="B7" s="242" t="s">
        <v>209</v>
      </c>
      <c r="C7" s="241" t="s">
        <v>208</v>
      </c>
      <c r="D7" s="241"/>
      <c r="E7" s="241"/>
    </row>
    <row r="8" spans="1:5" s="238" customFormat="1" ht="20.25" customHeight="1">
      <c r="A8" s="241">
        <v>3</v>
      </c>
      <c r="B8" s="242" t="s">
        <v>210</v>
      </c>
      <c r="C8" s="241" t="s">
        <v>208</v>
      </c>
      <c r="D8" s="241">
        <v>8.38</v>
      </c>
      <c r="E8" s="241">
        <v>7.1</v>
      </c>
    </row>
    <row r="9" spans="1:5" s="238" customFormat="1" ht="20.25" customHeight="1">
      <c r="A9" s="241">
        <v>4</v>
      </c>
      <c r="B9" s="242" t="s">
        <v>211</v>
      </c>
      <c r="C9" s="241" t="s">
        <v>208</v>
      </c>
      <c r="D9" s="241">
        <v>1.65</v>
      </c>
      <c r="E9" s="241">
        <v>0</v>
      </c>
    </row>
    <row r="10" spans="1:5" s="238" customFormat="1" ht="15" hidden="1">
      <c r="A10" s="241">
        <v>6</v>
      </c>
      <c r="B10" s="242"/>
      <c r="C10" s="241" t="s">
        <v>208</v>
      </c>
      <c r="D10" s="241"/>
      <c r="E10" s="241"/>
    </row>
    <row r="11" spans="1:5" s="238" customFormat="1" ht="15" hidden="1">
      <c r="A11" s="241">
        <v>7</v>
      </c>
      <c r="B11" s="242" t="s">
        <v>212</v>
      </c>
      <c r="C11" s="241" t="s">
        <v>208</v>
      </c>
      <c r="D11" s="241">
        <v>0</v>
      </c>
      <c r="E11" s="241"/>
    </row>
    <row r="12" spans="1:5" s="238" customFormat="1" ht="33.75" customHeight="1">
      <c r="A12" s="241">
        <v>5</v>
      </c>
      <c r="B12" s="242" t="s">
        <v>213</v>
      </c>
      <c r="C12" s="241" t="s">
        <v>208</v>
      </c>
      <c r="D12" s="241">
        <v>1266.81</v>
      </c>
      <c r="E12" s="241">
        <v>678.1</v>
      </c>
    </row>
    <row r="13" spans="1:5" s="238" customFormat="1" ht="15">
      <c r="A13" s="241">
        <v>6</v>
      </c>
      <c r="B13" s="242" t="s">
        <v>214</v>
      </c>
      <c r="C13" s="241" t="s">
        <v>208</v>
      </c>
      <c r="D13" s="243">
        <f>D12*0.22</f>
        <v>278.6982</v>
      </c>
      <c r="E13" s="243">
        <v>149.1</v>
      </c>
    </row>
    <row r="14" spans="1:5" s="238" customFormat="1" ht="28.5" customHeight="1">
      <c r="A14" s="241">
        <v>7</v>
      </c>
      <c r="B14" s="242" t="s">
        <v>215</v>
      </c>
      <c r="C14" s="241" t="s">
        <v>208</v>
      </c>
      <c r="D14" s="241">
        <v>3.16</v>
      </c>
      <c r="E14" s="241">
        <v>2.1</v>
      </c>
    </row>
    <row r="15" spans="1:5" s="238" customFormat="1" ht="15">
      <c r="A15" s="241">
        <v>8</v>
      </c>
      <c r="B15" s="242" t="s">
        <v>216</v>
      </c>
      <c r="C15" s="241" t="s">
        <v>208</v>
      </c>
      <c r="D15" s="241">
        <v>2.16</v>
      </c>
      <c r="E15" s="241">
        <v>0.9</v>
      </c>
    </row>
    <row r="16" spans="1:5" s="238" customFormat="1" ht="15">
      <c r="A16" s="241">
        <v>9</v>
      </c>
      <c r="B16" s="242" t="s">
        <v>217</v>
      </c>
      <c r="C16" s="241" t="s">
        <v>208</v>
      </c>
      <c r="D16" s="241">
        <v>3.67</v>
      </c>
      <c r="E16" s="241">
        <v>0.3</v>
      </c>
    </row>
    <row r="17" spans="1:5" s="238" customFormat="1" ht="27" hidden="1">
      <c r="A17" s="241">
        <v>13</v>
      </c>
      <c r="B17" s="242" t="s">
        <v>218</v>
      </c>
      <c r="C17" s="241" t="s">
        <v>208</v>
      </c>
      <c r="D17" s="241">
        <v>0</v>
      </c>
      <c r="E17" s="241"/>
    </row>
    <row r="18" spans="1:5" s="238" customFormat="1" ht="24" customHeight="1">
      <c r="A18" s="241">
        <v>10</v>
      </c>
      <c r="B18" s="242" t="s">
        <v>219</v>
      </c>
      <c r="C18" s="241" t="s">
        <v>208</v>
      </c>
      <c r="D18" s="241">
        <v>2275.11</v>
      </c>
      <c r="E18" s="241">
        <v>738.5</v>
      </c>
    </row>
    <row r="19" spans="1:5" s="238" customFormat="1" ht="18.75" customHeight="1">
      <c r="A19" s="241">
        <v>11</v>
      </c>
      <c r="B19" s="242" t="s">
        <v>236</v>
      </c>
      <c r="C19" s="241" t="s">
        <v>208</v>
      </c>
      <c r="D19" s="241">
        <v>0.98</v>
      </c>
      <c r="E19" s="241">
        <v>0</v>
      </c>
    </row>
    <row r="20" spans="1:5" s="238" customFormat="1" ht="23.25" customHeight="1">
      <c r="A20" s="241">
        <v>12</v>
      </c>
      <c r="B20" s="242" t="s">
        <v>220</v>
      </c>
      <c r="C20" s="241" t="s">
        <v>208</v>
      </c>
      <c r="D20" s="241">
        <v>1.09</v>
      </c>
      <c r="E20" s="241">
        <v>0.3</v>
      </c>
    </row>
    <row r="21" spans="1:5" s="238" customFormat="1" ht="21" customHeight="1">
      <c r="A21" s="241">
        <v>13</v>
      </c>
      <c r="B21" s="242" t="s">
        <v>221</v>
      </c>
      <c r="C21" s="241" t="s">
        <v>208</v>
      </c>
      <c r="D21" s="241">
        <v>1.93</v>
      </c>
      <c r="E21" s="241">
        <v>1.2</v>
      </c>
    </row>
    <row r="22" spans="1:5" s="238" customFormat="1" ht="21" customHeight="1">
      <c r="A22" s="260">
        <v>14</v>
      </c>
      <c r="B22" s="261" t="s">
        <v>241</v>
      </c>
      <c r="C22" s="241" t="s">
        <v>208</v>
      </c>
      <c r="D22" s="260"/>
      <c r="E22" s="260">
        <v>0.7</v>
      </c>
    </row>
    <row r="23" spans="1:5" s="238" customFormat="1" ht="21" customHeight="1">
      <c r="A23" s="260">
        <v>15</v>
      </c>
      <c r="B23" s="261" t="s">
        <v>242</v>
      </c>
      <c r="C23" s="241" t="s">
        <v>208</v>
      </c>
      <c r="D23" s="260"/>
      <c r="E23" s="260">
        <v>1.6</v>
      </c>
    </row>
    <row r="24" spans="1:5" s="238" customFormat="1" ht="23.25" customHeight="1">
      <c r="A24" s="244">
        <v>16</v>
      </c>
      <c r="B24" s="245" t="s">
        <v>222</v>
      </c>
      <c r="C24" s="245" t="s">
        <v>208</v>
      </c>
      <c r="D24" s="246">
        <f>SUM(D5:D21)</f>
        <v>3847.1582000000003</v>
      </c>
      <c r="E24" s="262">
        <f>SUM(E5:E23)</f>
        <v>1581.45</v>
      </c>
    </row>
    <row r="25" spans="1:5" s="238" customFormat="1" ht="38.25" customHeight="1">
      <c r="A25" s="247">
        <v>17</v>
      </c>
      <c r="B25" s="248" t="s">
        <v>223</v>
      </c>
      <c r="C25" s="245" t="s">
        <v>208</v>
      </c>
      <c r="D25" s="247">
        <v>224.84</v>
      </c>
      <c r="E25" s="258">
        <f>Додаток1!V24+Додаток1!V27</f>
        <v>66.6</v>
      </c>
    </row>
    <row r="26" spans="1:5" s="251" customFormat="1" ht="23.25" customHeight="1">
      <c r="A26" s="249">
        <v>18</v>
      </c>
      <c r="B26" s="249" t="s">
        <v>224</v>
      </c>
      <c r="C26" s="245" t="s">
        <v>208</v>
      </c>
      <c r="D26" s="250">
        <f>D24+D25</f>
        <v>4071.9982000000005</v>
      </c>
      <c r="E26" s="250">
        <f>E24+E25</f>
        <v>1648.05</v>
      </c>
    </row>
    <row r="27" spans="1:5" s="238" customFormat="1" ht="12.75" customHeight="1">
      <c r="A27" s="252"/>
      <c r="B27" s="252"/>
      <c r="C27" s="252"/>
      <c r="D27" s="252"/>
      <c r="E27" s="252"/>
    </row>
    <row r="28" spans="1:5" s="238" customFormat="1" ht="40.5" customHeight="1">
      <c r="A28" s="281" t="s">
        <v>237</v>
      </c>
      <c r="B28" s="281"/>
      <c r="C28" s="281"/>
      <c r="D28" s="281"/>
      <c r="E28" s="281"/>
    </row>
    <row r="29" spans="2:7" ht="31.5">
      <c r="B29" s="259" t="s">
        <v>229</v>
      </c>
      <c r="E29" s="176" t="s">
        <v>230</v>
      </c>
      <c r="F29" s="176"/>
      <c r="G29" s="176"/>
    </row>
  </sheetData>
  <sheetProtection/>
  <mergeCells count="2">
    <mergeCell ref="B2:E2"/>
    <mergeCell ref="A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F57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8" sqref="B18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54" customWidth="1"/>
    <col min="11" max="11" width="12.8515625" style="54" customWidth="1"/>
    <col min="12" max="12" width="13.140625" style="54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1.710937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55"/>
      <c r="B1" s="12"/>
      <c r="C1" s="12"/>
      <c r="D1" s="12"/>
      <c r="E1" s="12"/>
      <c r="F1" s="12"/>
      <c r="G1" s="12"/>
      <c r="H1" s="12"/>
      <c r="I1" s="12"/>
      <c r="J1" s="56"/>
      <c r="K1" s="56"/>
      <c r="L1" s="56"/>
      <c r="M1" s="12"/>
      <c r="N1" s="56"/>
      <c r="O1" s="56"/>
      <c r="P1" s="56"/>
      <c r="Q1" s="56"/>
      <c r="R1" s="56"/>
      <c r="T1" s="56"/>
      <c r="U1" s="56"/>
      <c r="V1" s="56"/>
    </row>
    <row r="2" spans="1:22" ht="60" customHeight="1">
      <c r="A2" s="282" t="s">
        <v>66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</row>
    <row r="3" spans="1:22" ht="15">
      <c r="A3" s="57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58"/>
      <c r="P3" s="58"/>
      <c r="Q3" s="58"/>
      <c r="R3" s="284"/>
      <c r="S3" s="284"/>
      <c r="T3" s="58"/>
      <c r="U3" s="284" t="s">
        <v>0</v>
      </c>
      <c r="V3" s="284"/>
    </row>
    <row r="4" spans="1:110" ht="21.75" customHeight="1">
      <c r="A4" s="268" t="s">
        <v>1</v>
      </c>
      <c r="B4" s="268" t="s">
        <v>2</v>
      </c>
      <c r="C4" s="22" t="s">
        <v>67</v>
      </c>
      <c r="D4" s="268" t="s">
        <v>68</v>
      </c>
      <c r="E4" s="268"/>
      <c r="F4" s="268"/>
      <c r="G4" s="268"/>
      <c r="H4" s="268" t="s">
        <v>69</v>
      </c>
      <c r="I4" s="268"/>
      <c r="J4" s="268"/>
      <c r="K4" s="268"/>
      <c r="L4" s="268"/>
      <c r="M4" s="268" t="s">
        <v>70</v>
      </c>
      <c r="N4" s="268"/>
      <c r="O4" s="268"/>
      <c r="P4" s="268"/>
      <c r="Q4" s="268"/>
      <c r="R4" s="268" t="s">
        <v>71</v>
      </c>
      <c r="S4" s="268"/>
      <c r="T4" s="268"/>
      <c r="U4" s="268"/>
      <c r="V4" s="268"/>
      <c r="W4" s="285" t="s">
        <v>72</v>
      </c>
      <c r="X4" s="285"/>
      <c r="Y4" s="285" t="s">
        <v>4</v>
      </c>
      <c r="Z4" s="285"/>
      <c r="AA4" s="285" t="s">
        <v>73</v>
      </c>
      <c r="AB4" s="285"/>
      <c r="AC4" s="285" t="s">
        <v>74</v>
      </c>
      <c r="AD4" s="285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</row>
    <row r="5" spans="1:110" ht="47.25" customHeight="1">
      <c r="A5" s="268"/>
      <c r="B5" s="268"/>
      <c r="C5" s="59"/>
      <c r="D5" s="268" t="s">
        <v>75</v>
      </c>
      <c r="E5" s="268"/>
      <c r="F5" s="268" t="s">
        <v>76</v>
      </c>
      <c r="G5" s="268"/>
      <c r="H5" s="268" t="s">
        <v>75</v>
      </c>
      <c r="I5" s="268"/>
      <c r="J5" s="19" t="s">
        <v>77</v>
      </c>
      <c r="K5" s="268" t="s">
        <v>76</v>
      </c>
      <c r="L5" s="268"/>
      <c r="M5" s="268" t="s">
        <v>75</v>
      </c>
      <c r="N5" s="268"/>
      <c r="O5" s="19" t="s">
        <v>77</v>
      </c>
      <c r="P5" s="268" t="s">
        <v>76</v>
      </c>
      <c r="Q5" s="268"/>
      <c r="R5" s="268" t="s">
        <v>75</v>
      </c>
      <c r="S5" s="268"/>
      <c r="T5" s="19" t="s">
        <v>77</v>
      </c>
      <c r="U5" s="268" t="s">
        <v>76</v>
      </c>
      <c r="V5" s="268"/>
      <c r="W5" s="23"/>
      <c r="X5" s="60"/>
      <c r="Y5" s="23"/>
      <c r="Z5" s="60"/>
      <c r="AA5" s="23"/>
      <c r="AB5" s="60"/>
      <c r="AC5" s="23"/>
      <c r="AD5" s="60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</row>
    <row r="6" spans="1:110" ht="36.75" customHeight="1">
      <c r="A6" s="268"/>
      <c r="B6" s="268"/>
      <c r="C6" s="59"/>
      <c r="D6" s="61" t="s">
        <v>7</v>
      </c>
      <c r="E6" s="61" t="s">
        <v>8</v>
      </c>
      <c r="F6" s="61" t="s">
        <v>7</v>
      </c>
      <c r="G6" s="61" t="s">
        <v>8</v>
      </c>
      <c r="H6" s="61" t="s">
        <v>7</v>
      </c>
      <c r="I6" s="61" t="s">
        <v>8</v>
      </c>
      <c r="J6" s="25" t="s">
        <v>78</v>
      </c>
      <c r="K6" s="25" t="s">
        <v>7</v>
      </c>
      <c r="L6" s="25" t="s">
        <v>8</v>
      </c>
      <c r="M6" s="61" t="s">
        <v>7</v>
      </c>
      <c r="N6" s="25" t="s">
        <v>8</v>
      </c>
      <c r="O6" s="25" t="s">
        <v>78</v>
      </c>
      <c r="P6" s="25" t="s">
        <v>7</v>
      </c>
      <c r="Q6" s="25" t="s">
        <v>8</v>
      </c>
      <c r="R6" s="25" t="s">
        <v>7</v>
      </c>
      <c r="S6" s="25" t="s">
        <v>8</v>
      </c>
      <c r="T6" s="25" t="s">
        <v>78</v>
      </c>
      <c r="U6" s="25" t="s">
        <v>7</v>
      </c>
      <c r="V6" s="25" t="s">
        <v>8</v>
      </c>
      <c r="W6" s="25" t="s">
        <v>9</v>
      </c>
      <c r="X6" s="25" t="s">
        <v>8</v>
      </c>
      <c r="Y6" s="25" t="s">
        <v>9</v>
      </c>
      <c r="Z6" s="25" t="s">
        <v>8</v>
      </c>
      <c r="AA6" s="25" t="s">
        <v>9</v>
      </c>
      <c r="AB6" s="25" t="s">
        <v>8</v>
      </c>
      <c r="AC6" s="25" t="s">
        <v>9</v>
      </c>
      <c r="AD6" s="25" t="s">
        <v>8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</row>
    <row r="7" spans="1:110" ht="15.75" customHeight="1">
      <c r="A7" s="28">
        <v>1</v>
      </c>
      <c r="B7" s="28">
        <v>2</v>
      </c>
      <c r="C7" s="62">
        <v>3</v>
      </c>
      <c r="D7" s="62">
        <v>3</v>
      </c>
      <c r="E7" s="62">
        <v>4</v>
      </c>
      <c r="F7" s="62">
        <v>5</v>
      </c>
      <c r="G7" s="62">
        <v>6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3</v>
      </c>
      <c r="X7" s="62">
        <v>4</v>
      </c>
      <c r="Y7" s="62">
        <v>5</v>
      </c>
      <c r="Z7" s="62">
        <v>6</v>
      </c>
      <c r="AA7" s="62">
        <v>7</v>
      </c>
      <c r="AB7" s="62">
        <v>8</v>
      </c>
      <c r="AC7" s="62">
        <v>9</v>
      </c>
      <c r="AD7" s="62">
        <v>10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</row>
    <row r="8" spans="1:31" s="36" customFormat="1" ht="16.5" customHeight="1">
      <c r="A8" s="19">
        <v>1</v>
      </c>
      <c r="B8" s="63" t="s">
        <v>10</v>
      </c>
      <c r="C8" s="64" t="s">
        <v>79</v>
      </c>
      <c r="D8" s="65" t="e">
        <f aca="true" t="shared" si="0" ref="D8:D49">H8+M8+R8</f>
        <v>#REF!</v>
      </c>
      <c r="E8" s="65" t="e">
        <f>'Додаток2 скор'!E8+#REF!+#REF!</f>
        <v>#REF!</v>
      </c>
      <c r="F8" s="65" t="e">
        <f aca="true" t="shared" si="1" ref="F8:F49">H8+P8+U8</f>
        <v>#REF!</v>
      </c>
      <c r="G8" s="65" t="e">
        <f>'Додаток2 скор'!G8+#REF!+#REF!</f>
        <v>#REF!</v>
      </c>
      <c r="H8" s="65" t="e">
        <f>H9+H23+H24+H28</f>
        <v>#REF!</v>
      </c>
      <c r="I8" s="65" t="e">
        <f>'Додаток2 скор'!I8+#REF!+#REF!</f>
        <v>#REF!</v>
      </c>
      <c r="J8" s="66" t="e">
        <f>IF(H8=0,0,K8/H8)</f>
        <v>#REF!</v>
      </c>
      <c r="K8" s="65" t="e">
        <f>K9+K23+K24+K28</f>
        <v>#REF!</v>
      </c>
      <c r="L8" s="65" t="e">
        <f>'Додаток2 скор'!L8+#REF!+#REF!</f>
        <v>#REF!</v>
      </c>
      <c r="M8" s="65" t="e">
        <f>M9+M23+M24+M28</f>
        <v>#REF!</v>
      </c>
      <c r="N8" s="65" t="e">
        <f>'Додаток2 скор'!N8+#REF!+#REF!</f>
        <v>#REF!</v>
      </c>
      <c r="O8" s="66" t="e">
        <f>P8/M8</f>
        <v>#REF!</v>
      </c>
      <c r="P8" s="65" t="e">
        <f>P9+P23+P24+P28</f>
        <v>#REF!</v>
      </c>
      <c r="Q8" s="65" t="e">
        <f>'Додаток2 скор'!Q8+#REF!+#REF!</f>
        <v>#REF!</v>
      </c>
      <c r="R8" s="65" t="e">
        <f>R9+R23+R24+R28</f>
        <v>#REF!</v>
      </c>
      <c r="S8" s="65" t="e">
        <f>'Додаток2 скор'!S8+#REF!+#REF!</f>
        <v>#REF!</v>
      </c>
      <c r="T8" s="66" t="e">
        <f>U8/R8</f>
        <v>#REF!</v>
      </c>
      <c r="U8" s="65" t="e">
        <f>U9+U23+U24+U28</f>
        <v>#REF!</v>
      </c>
      <c r="V8" s="65" t="e">
        <f>'Додаток2 скор'!V8+#REF!+#REF!</f>
        <v>#REF!</v>
      </c>
      <c r="W8" s="67">
        <v>18463.34</v>
      </c>
      <c r="X8" s="68">
        <v>301.19</v>
      </c>
      <c r="Y8" s="69">
        <v>12392.62</v>
      </c>
      <c r="Z8" s="68">
        <v>237.51</v>
      </c>
      <c r="AA8" s="69">
        <v>4813.97</v>
      </c>
      <c r="AB8" s="68">
        <v>665.37</v>
      </c>
      <c r="AC8" s="69">
        <v>1256.74</v>
      </c>
      <c r="AD8" s="68">
        <v>665.37</v>
      </c>
      <c r="AE8" s="35"/>
    </row>
    <row r="9" spans="1:31" s="36" customFormat="1" ht="16.5" customHeight="1">
      <c r="A9" s="19" t="s">
        <v>11</v>
      </c>
      <c r="B9" s="63" t="s">
        <v>12</v>
      </c>
      <c r="C9" s="64" t="s">
        <v>79</v>
      </c>
      <c r="D9" s="65" t="e">
        <f t="shared" si="0"/>
        <v>#REF!</v>
      </c>
      <c r="E9" s="65" t="e">
        <f>'Додаток2 скор'!E9+#REF!+#REF!</f>
        <v>#REF!</v>
      </c>
      <c r="F9" s="65" t="e">
        <f t="shared" si="1"/>
        <v>#REF!</v>
      </c>
      <c r="G9" s="65" t="e">
        <f>'Додаток2 скор'!G9+#REF!+#REF!</f>
        <v>#REF!</v>
      </c>
      <c r="H9" s="65" t="e">
        <f>H10+H13+H14+H17+H21+H22+H20</f>
        <v>#REF!</v>
      </c>
      <c r="I9" s="65" t="e">
        <f>'Додаток2 скор'!I9+#REF!+#REF!</f>
        <v>#REF!</v>
      </c>
      <c r="J9" s="66" t="e">
        <f>IF(H9=0,0,K9/H9)</f>
        <v>#REF!</v>
      </c>
      <c r="K9" s="65" t="e">
        <f>SUM(K10:K22)-K10-K14-K17</f>
        <v>#REF!</v>
      </c>
      <c r="L9" s="65" t="e">
        <f>'Додаток2 скор'!L9+#REF!+#REF!</f>
        <v>#REF!</v>
      </c>
      <c r="M9" s="65" t="e">
        <f>M10+M13+M14+M17+M21+M22+M20</f>
        <v>#REF!</v>
      </c>
      <c r="N9" s="65" t="e">
        <f>'Додаток2 скор'!N9+#REF!+#REF!</f>
        <v>#REF!</v>
      </c>
      <c r="O9" s="66" t="e">
        <f>P9/M9</f>
        <v>#REF!</v>
      </c>
      <c r="P9" s="65" t="e">
        <f>P10+P13+P14+P17+P21+P22+P20</f>
        <v>#REF!</v>
      </c>
      <c r="Q9" s="65" t="e">
        <f>'Додаток2 скор'!Q9+#REF!+#REF!</f>
        <v>#REF!</v>
      </c>
      <c r="R9" s="65" t="e">
        <f>R10+R13+R14+R17+R21+R22+R20</f>
        <v>#REF!</v>
      </c>
      <c r="S9" s="65" t="e">
        <f>'Додаток2 скор'!S9+#REF!+#REF!</f>
        <v>#REF!</v>
      </c>
      <c r="T9" s="66" t="e">
        <f>U9/R9</f>
        <v>#REF!</v>
      </c>
      <c r="U9" s="65" t="e">
        <f>U10+U13+U14+U17+U21+U22+U20</f>
        <v>#REF!</v>
      </c>
      <c r="V9" s="65" t="e">
        <f>'Додаток2 скор'!V9+#REF!+#REF!</f>
        <v>#REF!</v>
      </c>
      <c r="W9" s="67">
        <v>16016.67</v>
      </c>
      <c r="X9" s="68">
        <v>261.28</v>
      </c>
      <c r="Y9" s="69">
        <v>10310.1</v>
      </c>
      <c r="Z9" s="68">
        <v>197.59</v>
      </c>
      <c r="AA9" s="69">
        <v>4525.21</v>
      </c>
      <c r="AB9" s="68">
        <v>625.46</v>
      </c>
      <c r="AC9" s="69">
        <v>1181.36</v>
      </c>
      <c r="AD9" s="68">
        <v>625.46</v>
      </c>
      <c r="AE9" s="35"/>
    </row>
    <row r="10" spans="1:110" s="43" customFormat="1" ht="16.5" customHeight="1">
      <c r="A10" s="37" t="s">
        <v>13</v>
      </c>
      <c r="B10" s="44" t="s">
        <v>80</v>
      </c>
      <c r="C10" s="70" t="s">
        <v>79</v>
      </c>
      <c r="D10" s="71">
        <f t="shared" si="0"/>
        <v>63225</v>
      </c>
      <c r="E10" s="71">
        <f>'Додаток2 скор'!E10</f>
        <v>298.3150965179681</v>
      </c>
      <c r="F10" s="71">
        <f t="shared" si="1"/>
        <v>54287.13590669442</v>
      </c>
      <c r="G10" s="71">
        <f>'Додаток2 скор'!G10</f>
        <v>256.14349051308176</v>
      </c>
      <c r="H10" s="71">
        <f>'Додаток2 скор'!H10</f>
        <v>26176.1</v>
      </c>
      <c r="I10" s="71">
        <f>'Додаток2 скор'!I10</f>
        <v>173.43357140604422</v>
      </c>
      <c r="J10" s="72">
        <f aca="true" t="shared" si="2" ref="J10:J48">IF(H10=0,0,K10/H10)</f>
        <v>1</v>
      </c>
      <c r="K10" s="71">
        <f>'Додаток2 скор'!K10</f>
        <v>26176.1</v>
      </c>
      <c r="L10" s="71">
        <f>'Додаток2 скор'!L10</f>
        <v>173.43357140604422</v>
      </c>
      <c r="M10" s="71">
        <f>'Додаток2 скор'!M10</f>
        <v>30639.109</v>
      </c>
      <c r="N10" s="71">
        <f>'Додаток2 скор'!N10</f>
        <v>607.2430305241647</v>
      </c>
      <c r="O10" s="72">
        <f aca="true" t="shared" si="3" ref="O10:O22">IF(M10=0,0,P10/M10)</f>
        <v>0.7280648991312262</v>
      </c>
      <c r="P10" s="71">
        <f>'Додаток2 скор'!P10</f>
        <v>22307.259803555644</v>
      </c>
      <c r="Q10" s="71">
        <f>'Додаток2 скор'!Q10</f>
        <v>442.1123357667161</v>
      </c>
      <c r="R10" s="71">
        <f>'Додаток2 скор'!R10</f>
        <v>6409.791</v>
      </c>
      <c r="S10" s="71">
        <f>'Додаток2 скор'!S10</f>
        <v>607.2431022134307</v>
      </c>
      <c r="T10" s="72">
        <f aca="true" t="shared" si="4" ref="T10:T21">IF(R10=0,0,U10/R10)</f>
        <v>0.9054548117308004</v>
      </c>
      <c r="U10" s="71">
        <f>'Додаток2 скор'!U10</f>
        <v>5803.776103138779</v>
      </c>
      <c r="V10" s="71">
        <f>'Додаток2 скор'!V10</f>
        <v>549.8311887894891</v>
      </c>
      <c r="W10" s="73">
        <v>13921.04</v>
      </c>
      <c r="X10" s="74">
        <v>227.09</v>
      </c>
      <c r="Y10" s="75">
        <v>8526.37</v>
      </c>
      <c r="Z10" s="74">
        <v>163.41</v>
      </c>
      <c r="AA10" s="75">
        <v>4277.88</v>
      </c>
      <c r="AB10" s="76">
        <v>591.28</v>
      </c>
      <c r="AC10" s="75">
        <v>1116.79</v>
      </c>
      <c r="AD10" s="76">
        <v>591.27</v>
      </c>
      <c r="AE10" s="35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</row>
    <row r="11" spans="1:110" s="43" customFormat="1" ht="16.5" customHeight="1">
      <c r="A11" s="37" t="s">
        <v>81</v>
      </c>
      <c r="B11" s="44" t="s">
        <v>82</v>
      </c>
      <c r="C11" s="70"/>
      <c r="D11" s="71">
        <f t="shared" si="0"/>
        <v>63225</v>
      </c>
      <c r="E11" s="71">
        <f>'Додаток2 скор'!E11</f>
        <v>298.3150965179681</v>
      </c>
      <c r="F11" s="71">
        <f t="shared" si="1"/>
        <v>54287.13590669442</v>
      </c>
      <c r="G11" s="71">
        <f>'Додаток2 скор'!G11</f>
        <v>256.14349051308176</v>
      </c>
      <c r="H11" s="71">
        <f>'Додаток2 скор'!H11</f>
        <v>26176.1</v>
      </c>
      <c r="I11" s="71">
        <f>'Додаток2 скор'!I11</f>
        <v>173.43357140604422</v>
      </c>
      <c r="J11" s="72">
        <f t="shared" si="2"/>
        <v>1</v>
      </c>
      <c r="K11" s="71">
        <f>'Додаток2 скор'!K11</f>
        <v>26176.1</v>
      </c>
      <c r="L11" s="71">
        <f>'Додаток2 скор'!L11</f>
        <v>173.43357140604422</v>
      </c>
      <c r="M11" s="71">
        <f>'Додаток2 скор'!M11</f>
        <v>30639.109</v>
      </c>
      <c r="N11" s="71">
        <f>'Додаток2 скор'!N11</f>
        <v>607.2430305241647</v>
      </c>
      <c r="O11" s="72">
        <f t="shared" si="3"/>
        <v>0.7280648991312262</v>
      </c>
      <c r="P11" s="71">
        <f>'Додаток2 скор'!P11</f>
        <v>22307.259803555644</v>
      </c>
      <c r="Q11" s="71">
        <f>'Додаток2 скор'!Q11</f>
        <v>442.1123357667161</v>
      </c>
      <c r="R11" s="71">
        <f>'Додаток2 скор'!R11</f>
        <v>6409.791</v>
      </c>
      <c r="S11" s="71">
        <f>'Додаток2 скор'!S11</f>
        <v>607.2431022134307</v>
      </c>
      <c r="T11" s="72">
        <f t="shared" si="4"/>
        <v>0.9054548117308004</v>
      </c>
      <c r="U11" s="71">
        <f>'Додаток2 скор'!U11</f>
        <v>5803.776103138779</v>
      </c>
      <c r="V11" s="71">
        <f>'Додаток2 скор'!V11</f>
        <v>549.8311887894891</v>
      </c>
      <c r="W11" s="73"/>
      <c r="X11" s="74"/>
      <c r="Y11" s="75"/>
      <c r="Z11" s="74"/>
      <c r="AA11" s="75"/>
      <c r="AB11" s="76"/>
      <c r="AC11" s="75"/>
      <c r="AD11" s="76"/>
      <c r="AE11" s="35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</row>
    <row r="12" spans="1:110" s="43" customFormat="1" ht="16.5" customHeight="1">
      <c r="A12" s="37" t="s">
        <v>83</v>
      </c>
      <c r="B12" s="44" t="s">
        <v>84</v>
      </c>
      <c r="C12" s="70"/>
      <c r="D12" s="71">
        <f t="shared" si="0"/>
        <v>0</v>
      </c>
      <c r="E12" s="71">
        <f>'Додаток2 скор'!E12</f>
        <v>0</v>
      </c>
      <c r="F12" s="71">
        <f t="shared" si="1"/>
        <v>0</v>
      </c>
      <c r="G12" s="71">
        <f>'Додаток2 скор'!G12</f>
        <v>0</v>
      </c>
      <c r="H12" s="71">
        <f>'Додаток2 скор'!H12</f>
        <v>0</v>
      </c>
      <c r="I12" s="71">
        <f>'Додаток2 скор'!I12</f>
        <v>0</v>
      </c>
      <c r="J12" s="72">
        <f t="shared" si="2"/>
        <v>0</v>
      </c>
      <c r="K12" s="71">
        <f>'Додаток2 скор'!K12</f>
        <v>0</v>
      </c>
      <c r="L12" s="71">
        <f>'Додаток2 скор'!L12</f>
        <v>0</v>
      </c>
      <c r="M12" s="71">
        <f>'Додаток2 скор'!M12</f>
        <v>0</v>
      </c>
      <c r="N12" s="71">
        <f>'Додаток2 скор'!N12</f>
        <v>0</v>
      </c>
      <c r="O12" s="72">
        <f t="shared" si="3"/>
        <v>0</v>
      </c>
      <c r="P12" s="71">
        <f>'Додаток2 скор'!P12</f>
        <v>0</v>
      </c>
      <c r="Q12" s="71">
        <f>'Додаток2 скор'!Q12</f>
        <v>0</v>
      </c>
      <c r="R12" s="71">
        <f>'Додаток2 скор'!R12</f>
        <v>0</v>
      </c>
      <c r="S12" s="71">
        <f>'Додаток2 скор'!S12</f>
        <v>0</v>
      </c>
      <c r="T12" s="72">
        <f t="shared" si="4"/>
        <v>0</v>
      </c>
      <c r="U12" s="71">
        <f>'Додаток2 скор'!U12</f>
        <v>0</v>
      </c>
      <c r="V12" s="71">
        <f>'Додаток2 скор'!V12</f>
        <v>0</v>
      </c>
      <c r="W12" s="73"/>
      <c r="X12" s="74"/>
      <c r="Y12" s="75"/>
      <c r="Z12" s="74"/>
      <c r="AA12" s="75"/>
      <c r="AB12" s="76"/>
      <c r="AC12" s="75"/>
      <c r="AD12" s="76"/>
      <c r="AE12" s="35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</row>
    <row r="13" spans="1:110" s="43" customFormat="1" ht="16.5" customHeight="1">
      <c r="A13" s="37" t="s">
        <v>15</v>
      </c>
      <c r="B13" s="44" t="s">
        <v>85</v>
      </c>
      <c r="C13" s="70" t="s">
        <v>79</v>
      </c>
      <c r="D13" s="71" t="e">
        <f t="shared" si="0"/>
        <v>#REF!</v>
      </c>
      <c r="E13" s="71" t="e">
        <f>'Додаток2 скор'!E13+#REF!</f>
        <v>#REF!</v>
      </c>
      <c r="F13" s="71" t="e">
        <f t="shared" si="1"/>
        <v>#REF!</v>
      </c>
      <c r="G13" s="71" t="e">
        <f>'Додаток2 скор'!G13+#REF!</f>
        <v>#REF!</v>
      </c>
      <c r="H13" s="71" t="e">
        <f>'Додаток2 скор'!H13+#REF!</f>
        <v>#REF!</v>
      </c>
      <c r="I13" s="71" t="e">
        <f>'Додаток2 скор'!I13+#REF!</f>
        <v>#REF!</v>
      </c>
      <c r="J13" s="72" t="e">
        <f t="shared" si="2"/>
        <v>#REF!</v>
      </c>
      <c r="K13" s="71" t="e">
        <f>'Додаток2 скор'!K13+#REF!</f>
        <v>#REF!</v>
      </c>
      <c r="L13" s="71" t="e">
        <f>'Додаток2 скор'!L13+#REF!</f>
        <v>#REF!</v>
      </c>
      <c r="M13" s="71" t="e">
        <f>'Додаток2 скор'!M13+#REF!</f>
        <v>#REF!</v>
      </c>
      <c r="N13" s="71" t="e">
        <f>'Додаток2 скор'!N13+#REF!</f>
        <v>#REF!</v>
      </c>
      <c r="O13" s="72" t="e">
        <f t="shared" si="3"/>
        <v>#REF!</v>
      </c>
      <c r="P13" s="71" t="e">
        <f>'Додаток2 скор'!P13+#REF!</f>
        <v>#REF!</v>
      </c>
      <c r="Q13" s="71" t="e">
        <f>'Додаток2 скор'!Q13+#REF!</f>
        <v>#REF!</v>
      </c>
      <c r="R13" s="71" t="e">
        <f>'Додаток2 скор'!R13+#REF!</f>
        <v>#REF!</v>
      </c>
      <c r="S13" s="71" t="e">
        <f>'Додаток2 скор'!S13+#REF!</f>
        <v>#REF!</v>
      </c>
      <c r="T13" s="72" t="e">
        <f t="shared" si="4"/>
        <v>#REF!</v>
      </c>
      <c r="U13" s="71" t="e">
        <f>'Додаток2 скор'!U13+#REF!</f>
        <v>#REF!</v>
      </c>
      <c r="V13" s="71" t="e">
        <f>'Додаток2 скор'!V13+#REF!</f>
        <v>#REF!</v>
      </c>
      <c r="W13" s="77">
        <v>1850</v>
      </c>
      <c r="X13" s="74">
        <v>30.18</v>
      </c>
      <c r="Y13" s="75">
        <v>1574.65</v>
      </c>
      <c r="Z13" s="74">
        <v>30.18</v>
      </c>
      <c r="AA13" s="75">
        <v>218.34</v>
      </c>
      <c r="AB13" s="76">
        <v>30.18</v>
      </c>
      <c r="AC13" s="75">
        <v>57</v>
      </c>
      <c r="AD13" s="76">
        <v>30.18</v>
      </c>
      <c r="AE13" s="35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</row>
    <row r="14" spans="1:110" s="43" customFormat="1" ht="21" customHeight="1">
      <c r="A14" s="37" t="s">
        <v>17</v>
      </c>
      <c r="B14" s="44" t="s">
        <v>86</v>
      </c>
      <c r="C14" s="70" t="s">
        <v>79</v>
      </c>
      <c r="D14" s="71">
        <f t="shared" si="0"/>
        <v>0</v>
      </c>
      <c r="E14" s="71">
        <f>'Додаток2 скор'!E14</f>
        <v>0</v>
      </c>
      <c r="F14" s="71">
        <f t="shared" si="1"/>
        <v>0</v>
      </c>
      <c r="G14" s="71">
        <f>'Додаток2 скор'!G14</f>
        <v>0</v>
      </c>
      <c r="H14" s="71">
        <f>'Додаток2 скор'!H14</f>
        <v>0</v>
      </c>
      <c r="I14" s="71">
        <f>'Додаток2 скор'!I14</f>
        <v>0</v>
      </c>
      <c r="J14" s="72">
        <f t="shared" si="2"/>
        <v>0</v>
      </c>
      <c r="K14" s="71">
        <f>'Додаток2 скор'!K14</f>
        <v>0</v>
      </c>
      <c r="L14" s="71">
        <f>'Додаток2 скор'!L14</f>
        <v>0</v>
      </c>
      <c r="M14" s="71">
        <f>'Додаток2 скор'!M14</f>
        <v>0</v>
      </c>
      <c r="N14" s="71">
        <f>'Додаток2 скор'!N14</f>
        <v>0</v>
      </c>
      <c r="O14" s="72">
        <f t="shared" si="3"/>
        <v>0</v>
      </c>
      <c r="P14" s="71">
        <f>'Додаток2 скор'!P14</f>
        <v>0</v>
      </c>
      <c r="Q14" s="71">
        <f>'Додаток2 скор'!Q14</f>
        <v>0</v>
      </c>
      <c r="R14" s="71">
        <f>'Додаток2 скор'!R14</f>
        <v>0</v>
      </c>
      <c r="S14" s="71">
        <f>'Додаток2 скор'!S14</f>
        <v>0</v>
      </c>
      <c r="T14" s="72">
        <f t="shared" si="4"/>
        <v>0</v>
      </c>
      <c r="U14" s="71">
        <f>'Додаток2 скор'!U14</f>
        <v>0</v>
      </c>
      <c r="V14" s="71">
        <f>'Додаток2 скор'!V14</f>
        <v>0</v>
      </c>
      <c r="W14" s="77">
        <v>0</v>
      </c>
      <c r="X14" s="74">
        <v>0</v>
      </c>
      <c r="Y14" s="75">
        <v>0</v>
      </c>
      <c r="Z14" s="74">
        <v>0</v>
      </c>
      <c r="AA14" s="75">
        <v>0</v>
      </c>
      <c r="AB14" s="76">
        <v>0</v>
      </c>
      <c r="AC14" s="75">
        <v>0</v>
      </c>
      <c r="AD14" s="76">
        <v>0</v>
      </c>
      <c r="AE14" s="35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</row>
    <row r="15" spans="1:110" s="43" customFormat="1" ht="15.75" customHeight="1">
      <c r="A15" s="37" t="s">
        <v>87</v>
      </c>
      <c r="B15" s="44"/>
      <c r="C15" s="70"/>
      <c r="D15" s="71">
        <f>H15+M15+R15</f>
        <v>0</v>
      </c>
      <c r="E15" s="71">
        <f>'Додаток2 скор'!E15</f>
        <v>0</v>
      </c>
      <c r="F15" s="71">
        <f t="shared" si="1"/>
        <v>0</v>
      </c>
      <c r="G15" s="71">
        <f>'Додаток2 скор'!G15</f>
        <v>0</v>
      </c>
      <c r="H15" s="71">
        <f>'Додаток2 скор'!H15</f>
        <v>0</v>
      </c>
      <c r="I15" s="71">
        <f>'Додаток2 скор'!I15</f>
        <v>0</v>
      </c>
      <c r="J15" s="72">
        <f t="shared" si="2"/>
        <v>0</v>
      </c>
      <c r="K15" s="71">
        <f>'Додаток2 скор'!K15</f>
        <v>0</v>
      </c>
      <c r="L15" s="71">
        <f>'Додаток2 скор'!L15</f>
        <v>0</v>
      </c>
      <c r="M15" s="71">
        <f>'Додаток2 скор'!M15</f>
        <v>0</v>
      </c>
      <c r="N15" s="71">
        <f>'Додаток2 скор'!N14</f>
        <v>0</v>
      </c>
      <c r="O15" s="72">
        <f t="shared" si="3"/>
        <v>0</v>
      </c>
      <c r="P15" s="71">
        <f>'Додаток2 скор'!P15</f>
        <v>0</v>
      </c>
      <c r="Q15" s="71">
        <f>'Додаток2 скор'!Q15</f>
        <v>0</v>
      </c>
      <c r="R15" s="71">
        <f>'Додаток2 скор'!R15</f>
        <v>0</v>
      </c>
      <c r="S15" s="71">
        <f>'Додаток2 скор'!S15</f>
        <v>0</v>
      </c>
      <c r="T15" s="72">
        <f t="shared" si="4"/>
        <v>0</v>
      </c>
      <c r="U15" s="71">
        <f>'Додаток2 скор'!U15</f>
        <v>0</v>
      </c>
      <c r="V15" s="71">
        <f>'Додаток2 скор'!V15</f>
        <v>0</v>
      </c>
      <c r="W15" s="77"/>
      <c r="X15" s="74"/>
      <c r="Y15" s="75"/>
      <c r="Z15" s="74"/>
      <c r="AA15" s="75"/>
      <c r="AB15" s="76"/>
      <c r="AC15" s="75"/>
      <c r="AD15" s="76"/>
      <c r="AE15" s="35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</row>
    <row r="16" spans="1:110" s="43" customFormat="1" ht="15.75" customHeight="1">
      <c r="A16" s="37" t="s">
        <v>88</v>
      </c>
      <c r="B16" s="78"/>
      <c r="C16" s="70"/>
      <c r="D16" s="71">
        <f t="shared" si="0"/>
        <v>0</v>
      </c>
      <c r="E16" s="71">
        <f>'Додаток2 скор'!E16</f>
        <v>0</v>
      </c>
      <c r="F16" s="71">
        <f t="shared" si="1"/>
        <v>0</v>
      </c>
      <c r="G16" s="71">
        <f>'Додаток2 скор'!G16</f>
        <v>0</v>
      </c>
      <c r="H16" s="71">
        <f>'Додаток2 скор'!H16</f>
        <v>0</v>
      </c>
      <c r="I16" s="71">
        <f>'Додаток2 скор'!I16</f>
        <v>0</v>
      </c>
      <c r="J16" s="72">
        <f t="shared" si="2"/>
        <v>0</v>
      </c>
      <c r="K16" s="71">
        <f>'Додаток2 скор'!K16</f>
        <v>0</v>
      </c>
      <c r="L16" s="71">
        <f>'Додаток2 скор'!L16</f>
        <v>0</v>
      </c>
      <c r="M16" s="71">
        <f>'Додаток2 скор'!M16</f>
        <v>0</v>
      </c>
      <c r="N16" s="71">
        <f>'Додаток2 скор'!N16</f>
        <v>0</v>
      </c>
      <c r="O16" s="72">
        <f t="shared" si="3"/>
        <v>0</v>
      </c>
      <c r="P16" s="71">
        <f>'Додаток2 скор'!P16</f>
        <v>0</v>
      </c>
      <c r="Q16" s="71">
        <f>'Додаток2 скор'!Q16</f>
        <v>0</v>
      </c>
      <c r="R16" s="71">
        <f>'Додаток2 скор'!R16</f>
        <v>0</v>
      </c>
      <c r="S16" s="71">
        <f>'Додаток2 скор'!S16</f>
        <v>0</v>
      </c>
      <c r="T16" s="72">
        <f t="shared" si="4"/>
        <v>0</v>
      </c>
      <c r="U16" s="71">
        <f>'Додаток2 скор'!U16</f>
        <v>0</v>
      </c>
      <c r="V16" s="71">
        <f>'Додаток2 скор'!V16</f>
        <v>0</v>
      </c>
      <c r="W16" s="77"/>
      <c r="X16" s="74"/>
      <c r="Y16" s="75"/>
      <c r="Z16" s="74"/>
      <c r="AA16" s="75"/>
      <c r="AB16" s="76"/>
      <c r="AC16" s="75"/>
      <c r="AD16" s="76"/>
      <c r="AE16" s="35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</row>
    <row r="17" spans="1:110" s="43" customFormat="1" ht="15.75" customHeight="1">
      <c r="A17" s="37" t="s">
        <v>19</v>
      </c>
      <c r="B17" s="44" t="s">
        <v>89</v>
      </c>
      <c r="C17" s="70"/>
      <c r="D17" s="71">
        <f t="shared" si="0"/>
        <v>0</v>
      </c>
      <c r="E17" s="71">
        <f>'Додаток2 скор'!E17</f>
        <v>0</v>
      </c>
      <c r="F17" s="71">
        <f t="shared" si="1"/>
        <v>0</v>
      </c>
      <c r="G17" s="71">
        <f>'Додаток2 скор'!G17</f>
        <v>0</v>
      </c>
      <c r="H17" s="71">
        <f>'Додаток2 скор'!H17</f>
        <v>0</v>
      </c>
      <c r="I17" s="71">
        <f>'Додаток2 скор'!I17</f>
        <v>0</v>
      </c>
      <c r="J17" s="72">
        <f t="shared" si="2"/>
        <v>0</v>
      </c>
      <c r="K17" s="71">
        <f>'Додаток2 скор'!K17</f>
        <v>0</v>
      </c>
      <c r="L17" s="71">
        <f>'Додаток2 скор'!L17</f>
        <v>0</v>
      </c>
      <c r="M17" s="71">
        <f>'Додаток2 скор'!M17</f>
        <v>0</v>
      </c>
      <c r="N17" s="71">
        <f>'Додаток2 скор'!N17</f>
        <v>0</v>
      </c>
      <c r="O17" s="72">
        <f t="shared" si="3"/>
        <v>0</v>
      </c>
      <c r="P17" s="71">
        <f>'Додаток2 скор'!P17</f>
        <v>0</v>
      </c>
      <c r="Q17" s="71">
        <f>'Додаток2 скор'!Q17</f>
        <v>0</v>
      </c>
      <c r="R17" s="71">
        <f>'Додаток2 скор'!R17</f>
        <v>0</v>
      </c>
      <c r="S17" s="71">
        <f>'Додаток2 скор'!S17</f>
        <v>0</v>
      </c>
      <c r="T17" s="72">
        <f t="shared" si="4"/>
        <v>0</v>
      </c>
      <c r="U17" s="71">
        <f>'Додаток2 скор'!U17</f>
        <v>0</v>
      </c>
      <c r="V17" s="71">
        <f>'Додаток2 скор'!V17</f>
        <v>0</v>
      </c>
      <c r="W17" s="77"/>
      <c r="X17" s="74"/>
      <c r="Y17" s="75"/>
      <c r="Z17" s="74"/>
      <c r="AA17" s="75"/>
      <c r="AB17" s="76"/>
      <c r="AC17" s="75"/>
      <c r="AD17" s="76"/>
      <c r="AE17" s="35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</row>
    <row r="18" spans="1:110" s="43" customFormat="1" ht="15.75" customHeight="1">
      <c r="A18" s="37" t="s">
        <v>90</v>
      </c>
      <c r="B18" s="44"/>
      <c r="C18" s="70"/>
      <c r="D18" s="71">
        <f t="shared" si="0"/>
        <v>0</v>
      </c>
      <c r="E18" s="71">
        <f>'Додаток2 скор'!E18</f>
        <v>0</v>
      </c>
      <c r="F18" s="71">
        <f t="shared" si="1"/>
        <v>0</v>
      </c>
      <c r="G18" s="71">
        <f>'Додаток2 скор'!G18</f>
        <v>0</v>
      </c>
      <c r="H18" s="71">
        <f>'Додаток2 скор'!H18</f>
        <v>0</v>
      </c>
      <c r="I18" s="71">
        <f>'Додаток2 скор'!I18</f>
        <v>0</v>
      </c>
      <c r="J18" s="72">
        <f t="shared" si="2"/>
        <v>0</v>
      </c>
      <c r="K18" s="71">
        <f>'Додаток2 скор'!K18</f>
        <v>0</v>
      </c>
      <c r="L18" s="71">
        <f>'Додаток2 скор'!L18</f>
        <v>0</v>
      </c>
      <c r="M18" s="71">
        <f>'Додаток2 скор'!M18</f>
        <v>0</v>
      </c>
      <c r="N18" s="71">
        <f>'Додаток2 скор'!N18</f>
        <v>0</v>
      </c>
      <c r="O18" s="72">
        <f t="shared" si="3"/>
        <v>0</v>
      </c>
      <c r="P18" s="71">
        <f>'Додаток2 скор'!P18</f>
        <v>0</v>
      </c>
      <c r="Q18" s="71">
        <f>'Додаток2 скор'!Q18</f>
        <v>0</v>
      </c>
      <c r="R18" s="71">
        <f>'Додаток2 скор'!R18</f>
        <v>0</v>
      </c>
      <c r="S18" s="71">
        <f>'Додаток2 скор'!S18</f>
        <v>0</v>
      </c>
      <c r="T18" s="72">
        <f t="shared" si="4"/>
        <v>0</v>
      </c>
      <c r="U18" s="71">
        <f>'Додаток2 скор'!U18</f>
        <v>0</v>
      </c>
      <c r="V18" s="71">
        <f>'Додаток2 скор'!V18</f>
        <v>0</v>
      </c>
      <c r="W18" s="77"/>
      <c r="X18" s="74"/>
      <c r="Y18" s="75"/>
      <c r="Z18" s="74"/>
      <c r="AA18" s="75"/>
      <c r="AB18" s="76"/>
      <c r="AC18" s="75"/>
      <c r="AD18" s="76"/>
      <c r="AE18" s="35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</row>
    <row r="19" spans="1:110" s="43" customFormat="1" ht="15.75" customHeight="1">
      <c r="A19" s="37" t="s">
        <v>91</v>
      </c>
      <c r="B19" s="44"/>
      <c r="C19" s="70"/>
      <c r="D19" s="71">
        <f t="shared" si="0"/>
        <v>0</v>
      </c>
      <c r="E19" s="71">
        <f>'Додаток2 скор'!E19</f>
        <v>0</v>
      </c>
      <c r="F19" s="71">
        <f t="shared" si="1"/>
        <v>0</v>
      </c>
      <c r="G19" s="71">
        <f>'Додаток2 скор'!G19</f>
        <v>0</v>
      </c>
      <c r="H19" s="71">
        <f>'Додаток2 скор'!H19</f>
        <v>0</v>
      </c>
      <c r="I19" s="71">
        <f>'Додаток2 скор'!I19</f>
        <v>0</v>
      </c>
      <c r="J19" s="72">
        <f t="shared" si="2"/>
        <v>0</v>
      </c>
      <c r="K19" s="71">
        <f>'Додаток2 скор'!K19</f>
        <v>0</v>
      </c>
      <c r="L19" s="71">
        <f>'Додаток2 скор'!L19</f>
        <v>0</v>
      </c>
      <c r="M19" s="71">
        <f>'Додаток2 скор'!M19</f>
        <v>0</v>
      </c>
      <c r="N19" s="71">
        <f>'Додаток2 скор'!N19</f>
        <v>0</v>
      </c>
      <c r="O19" s="72">
        <f t="shared" si="3"/>
        <v>0</v>
      </c>
      <c r="P19" s="71">
        <f>'Додаток2 скор'!P19</f>
        <v>0</v>
      </c>
      <c r="Q19" s="71">
        <f>'Додаток2 скор'!Q19</f>
        <v>0</v>
      </c>
      <c r="R19" s="71">
        <f>'Додаток2 скор'!R19</f>
        <v>0</v>
      </c>
      <c r="S19" s="71">
        <f>'Додаток2 скор'!S19</f>
        <v>0</v>
      </c>
      <c r="T19" s="72">
        <f t="shared" si="4"/>
        <v>0</v>
      </c>
      <c r="U19" s="71">
        <f>'Додаток2 скор'!U19</f>
        <v>0</v>
      </c>
      <c r="V19" s="71">
        <f>'Додаток2 скор'!V19</f>
        <v>0</v>
      </c>
      <c r="W19" s="77"/>
      <c r="X19" s="74"/>
      <c r="Y19" s="75"/>
      <c r="Z19" s="74"/>
      <c r="AA19" s="75"/>
      <c r="AB19" s="76"/>
      <c r="AC19" s="75"/>
      <c r="AD19" s="76"/>
      <c r="AE19" s="35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</row>
    <row r="20" spans="1:110" s="85" customFormat="1" ht="15">
      <c r="A20" s="37" t="s">
        <v>92</v>
      </c>
      <c r="B20" s="44" t="e">
        <f>#REF!</f>
        <v>#REF!</v>
      </c>
      <c r="C20" s="70"/>
      <c r="D20" s="71" t="e">
        <f>H20+M20+R20</f>
        <v>#REF!</v>
      </c>
      <c r="E20" s="71" t="e">
        <f>#REF!</f>
        <v>#REF!</v>
      </c>
      <c r="F20" s="71" t="e">
        <f>H20+P20+U20</f>
        <v>#REF!</v>
      </c>
      <c r="G20" s="71" t="e">
        <f>F20/F51*1000</f>
        <v>#REF!</v>
      </c>
      <c r="H20" s="71" t="e">
        <f>#REF!</f>
        <v>#REF!</v>
      </c>
      <c r="I20" s="71" t="e">
        <f>#REF!</f>
        <v>#REF!</v>
      </c>
      <c r="J20" s="72" t="e">
        <f t="shared" si="2"/>
        <v>#REF!</v>
      </c>
      <c r="K20" s="71" t="e">
        <f>#REF!</f>
        <v>#REF!</v>
      </c>
      <c r="L20" s="71" t="e">
        <f>#REF!</f>
        <v>#REF!</v>
      </c>
      <c r="M20" s="71" t="e">
        <f>#REF!</f>
        <v>#REF!</v>
      </c>
      <c r="N20" s="71" t="e">
        <f>#REF!</f>
        <v>#REF!</v>
      </c>
      <c r="O20" s="72" t="e">
        <f t="shared" si="3"/>
        <v>#REF!</v>
      </c>
      <c r="P20" s="71" t="e">
        <f>#REF!</f>
        <v>#REF!</v>
      </c>
      <c r="Q20" s="71" t="e">
        <f>#REF!</f>
        <v>#REF!</v>
      </c>
      <c r="R20" s="71" t="e">
        <f>#REF!</f>
        <v>#REF!</v>
      </c>
      <c r="S20" s="71" t="e">
        <f>#REF!</f>
        <v>#REF!</v>
      </c>
      <c r="T20" s="72" t="e">
        <f t="shared" si="4"/>
        <v>#REF!</v>
      </c>
      <c r="U20" s="71" t="e">
        <f>#REF!</f>
        <v>#REF!</v>
      </c>
      <c r="V20" s="71" t="e">
        <f>#REF!</f>
        <v>#REF!</v>
      </c>
      <c r="W20" s="79"/>
      <c r="X20" s="80"/>
      <c r="Y20" s="81"/>
      <c r="Z20" s="80"/>
      <c r="AA20" s="81"/>
      <c r="AB20" s="82"/>
      <c r="AC20" s="81"/>
      <c r="AD20" s="82"/>
      <c r="AE20" s="83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</row>
    <row r="21" spans="1:110" s="43" customFormat="1" ht="17.25" customHeight="1">
      <c r="A21" s="37" t="s">
        <v>21</v>
      </c>
      <c r="B21" s="44" t="s">
        <v>22</v>
      </c>
      <c r="C21" s="70" t="s">
        <v>79</v>
      </c>
      <c r="D21" s="71" t="e">
        <f t="shared" si="0"/>
        <v>#REF!</v>
      </c>
      <c r="E21" s="71" t="e">
        <f>'Додаток2 скор'!E20+#REF!</f>
        <v>#REF!</v>
      </c>
      <c r="F21" s="71" t="e">
        <f t="shared" si="1"/>
        <v>#REF!</v>
      </c>
      <c r="G21" s="71" t="e">
        <f>'Додаток2 скор'!G20+#REF!</f>
        <v>#REF!</v>
      </c>
      <c r="H21" s="71" t="e">
        <f>'Додаток2 скор'!H20+#REF!</f>
        <v>#REF!</v>
      </c>
      <c r="I21" s="71" t="e">
        <f>'Додаток2 скор'!I20+#REF!</f>
        <v>#REF!</v>
      </c>
      <c r="J21" s="72" t="e">
        <f t="shared" si="2"/>
        <v>#REF!</v>
      </c>
      <c r="K21" s="71" t="e">
        <f>'Додаток2 скор'!K20+#REF!</f>
        <v>#REF!</v>
      </c>
      <c r="L21" s="71" t="e">
        <f>'Додаток2 скор'!L20+#REF!</f>
        <v>#REF!</v>
      </c>
      <c r="M21" s="71" t="e">
        <f>'Додаток2 скор'!M20+#REF!</f>
        <v>#REF!</v>
      </c>
      <c r="N21" s="71" t="e">
        <f>'Додаток2 скор'!N20+#REF!</f>
        <v>#REF!</v>
      </c>
      <c r="O21" s="72" t="e">
        <f t="shared" si="3"/>
        <v>#REF!</v>
      </c>
      <c r="P21" s="71" t="e">
        <f>'Додаток2 скор'!P20+#REF!</f>
        <v>#REF!</v>
      </c>
      <c r="Q21" s="71" t="e">
        <f>'Додаток2 скор'!Q20+#REF!</f>
        <v>#REF!</v>
      </c>
      <c r="R21" s="71" t="e">
        <f>'Додаток2 скор'!R20+#REF!</f>
        <v>#REF!</v>
      </c>
      <c r="S21" s="71" t="e">
        <f>'Додаток2 скор'!S20+#REF!</f>
        <v>#REF!</v>
      </c>
      <c r="T21" s="72" t="e">
        <f t="shared" si="4"/>
        <v>#REF!</v>
      </c>
      <c r="U21" s="71" t="e">
        <f>'Додаток2 скор'!U20+#REF!</f>
        <v>#REF!</v>
      </c>
      <c r="V21" s="71" t="e">
        <f>'Додаток2 скор'!V20+#REF!</f>
        <v>#REF!</v>
      </c>
      <c r="W21" s="77">
        <v>28.12</v>
      </c>
      <c r="X21" s="74">
        <v>0.46</v>
      </c>
      <c r="Y21" s="75">
        <v>23.93</v>
      </c>
      <c r="Z21" s="74">
        <v>0.46</v>
      </c>
      <c r="AA21" s="75">
        <v>3.32</v>
      </c>
      <c r="AB21" s="76">
        <v>0.46</v>
      </c>
      <c r="AC21" s="75">
        <v>0.87</v>
      </c>
      <c r="AD21" s="76">
        <v>0.46</v>
      </c>
      <c r="AE21" s="35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</row>
    <row r="22" spans="1:110" s="43" customFormat="1" ht="17.25" customHeight="1">
      <c r="A22" s="37" t="s">
        <v>23</v>
      </c>
      <c r="B22" s="44" t="s">
        <v>24</v>
      </c>
      <c r="C22" s="70" t="s">
        <v>79</v>
      </c>
      <c r="D22" s="71" t="e">
        <f t="shared" si="0"/>
        <v>#REF!</v>
      </c>
      <c r="E22" s="71" t="e">
        <f>'Додаток2 скор'!E21+#REF!+#REF!</f>
        <v>#REF!</v>
      </c>
      <c r="F22" s="71" t="e">
        <f t="shared" si="1"/>
        <v>#REF!</v>
      </c>
      <c r="G22" s="71" t="e">
        <f>'Додаток2 скор'!G21+#REF!+#REF!</f>
        <v>#REF!</v>
      </c>
      <c r="H22" s="71" t="e">
        <f>'Додаток2 скор'!H21+#REF!+#REF!</f>
        <v>#REF!</v>
      </c>
      <c r="I22" s="71" t="e">
        <f>'Додаток2 скор'!I21+#REF!+#REF!</f>
        <v>#REF!</v>
      </c>
      <c r="J22" s="72" t="e">
        <f t="shared" si="2"/>
        <v>#REF!</v>
      </c>
      <c r="K22" s="71" t="e">
        <f>'Додаток2 скор'!K21+#REF!+#REF!</f>
        <v>#REF!</v>
      </c>
      <c r="L22" s="71" t="e">
        <f>'Додаток2 скор'!L21+#REF!+#REF!</f>
        <v>#REF!</v>
      </c>
      <c r="M22" s="71" t="e">
        <f>'Додаток2 скор'!M21+#REF!+#REF!</f>
        <v>#REF!</v>
      </c>
      <c r="N22" s="71" t="e">
        <f>'Додаток2 скор'!N21+#REF!+#REF!</f>
        <v>#REF!</v>
      </c>
      <c r="O22" s="72" t="e">
        <f t="shared" si="3"/>
        <v>#REF!</v>
      </c>
      <c r="P22" s="71" t="e">
        <f>'Додаток2 скор'!P21+#REF!+#REF!</f>
        <v>#REF!</v>
      </c>
      <c r="Q22" s="71" t="e">
        <f>'Додаток2 скор'!Q21+#REF!+#REF!</f>
        <v>#REF!</v>
      </c>
      <c r="R22" s="71" t="e">
        <f>'Додаток2 скор'!R21+#REF!+#REF!</f>
        <v>#REF!</v>
      </c>
      <c r="S22" s="71" t="e">
        <f>'Додаток2 скор'!S21+#REF!+#REF!</f>
        <v>#REF!</v>
      </c>
      <c r="T22" s="72" t="e">
        <f aca="true" t="shared" si="5" ref="T22:T47">IF(R22=0,0,1)</f>
        <v>#REF!</v>
      </c>
      <c r="U22" s="71" t="e">
        <f>'Додаток2 скор'!U21+#REF!+#REF!</f>
        <v>#REF!</v>
      </c>
      <c r="V22" s="71" t="e">
        <f>'Додаток2 скор'!V21+#REF!+#REF!</f>
        <v>#REF!</v>
      </c>
      <c r="W22" s="77">
        <v>217.51</v>
      </c>
      <c r="X22" s="74">
        <v>3.55</v>
      </c>
      <c r="Y22" s="75">
        <v>185.14</v>
      </c>
      <c r="Z22" s="74">
        <v>3.55</v>
      </c>
      <c r="AA22" s="75">
        <v>25.67</v>
      </c>
      <c r="AB22" s="76">
        <v>3.55</v>
      </c>
      <c r="AC22" s="75">
        <v>6.7</v>
      </c>
      <c r="AD22" s="76">
        <v>3.55</v>
      </c>
      <c r="AE22" s="35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</row>
    <row r="23" spans="1:31" s="36" customFormat="1" ht="16.5" customHeight="1">
      <c r="A23" s="19" t="s">
        <v>25</v>
      </c>
      <c r="B23" s="63" t="s">
        <v>93</v>
      </c>
      <c r="C23" s="64" t="s">
        <v>79</v>
      </c>
      <c r="D23" s="65" t="e">
        <f t="shared" si="0"/>
        <v>#REF!</v>
      </c>
      <c r="E23" s="65" t="e">
        <f>'Додаток2 скор'!E22+#REF!+#REF!</f>
        <v>#REF!</v>
      </c>
      <c r="F23" s="65" t="e">
        <f t="shared" si="1"/>
        <v>#REF!</v>
      </c>
      <c r="G23" s="65" t="e">
        <f>'Додаток2 скор'!G22+#REF!+#REF!</f>
        <v>#REF!</v>
      </c>
      <c r="H23" s="65" t="e">
        <f>'Додаток2 скор'!H22+#REF!+#REF!</f>
        <v>#REF!</v>
      </c>
      <c r="I23" s="65" t="e">
        <f>'Додаток2 скор'!I22+#REF!+#REF!</f>
        <v>#REF!</v>
      </c>
      <c r="J23" s="66" t="e">
        <f t="shared" si="2"/>
        <v>#REF!</v>
      </c>
      <c r="K23" s="71" t="e">
        <f>'Додаток2 скор'!K22+#REF!+#REF!</f>
        <v>#REF!</v>
      </c>
      <c r="L23" s="71" t="e">
        <f>'Додаток2 скор'!L22+#REF!+#REF!</f>
        <v>#REF!</v>
      </c>
      <c r="M23" s="65" t="e">
        <f>'Додаток2 скор'!M22+#REF!+#REF!</f>
        <v>#REF!</v>
      </c>
      <c r="N23" s="65" t="e">
        <f>'Додаток2 скор'!N22+#REF!+#REF!</f>
        <v>#REF!</v>
      </c>
      <c r="O23" s="66" t="e">
        <f aca="true" t="shared" si="6" ref="O23:O47">IF(M23=0,0,1)</f>
        <v>#REF!</v>
      </c>
      <c r="P23" s="65" t="e">
        <f>'Додаток2 скор'!P22+#REF!+#REF!</f>
        <v>#REF!</v>
      </c>
      <c r="Q23" s="65" t="e">
        <f>'Додаток2 скор'!Q22+#REF!+#REF!</f>
        <v>#REF!</v>
      </c>
      <c r="R23" s="65" t="e">
        <f>'Додаток2 скор'!R22+#REF!+#REF!</f>
        <v>#REF!</v>
      </c>
      <c r="S23" s="65" t="e">
        <f>'Додаток2 скор'!S22+#REF!+#REF!</f>
        <v>#REF!</v>
      </c>
      <c r="T23" s="66" t="e">
        <f t="shared" si="5"/>
        <v>#REF!</v>
      </c>
      <c r="U23" s="65" t="e">
        <f>'Додаток2 скор'!U22+#REF!+#REF!</f>
        <v>#REF!</v>
      </c>
      <c r="V23" s="71" t="e">
        <f>'Додаток2 скор'!V22+#REF!+#REF!</f>
        <v>#REF!</v>
      </c>
      <c r="W23" s="86">
        <v>1270.24</v>
      </c>
      <c r="X23" s="68">
        <v>20.72</v>
      </c>
      <c r="Y23" s="69">
        <v>1081.18</v>
      </c>
      <c r="Z23" s="68">
        <v>20.72</v>
      </c>
      <c r="AA23" s="69">
        <v>149.92</v>
      </c>
      <c r="AB23" s="68">
        <v>20.72</v>
      </c>
      <c r="AC23" s="69">
        <v>39.14</v>
      </c>
      <c r="AD23" s="68">
        <v>20.72</v>
      </c>
      <c r="AE23" s="35"/>
    </row>
    <row r="24" spans="1:31" s="36" customFormat="1" ht="16.5" customHeight="1">
      <c r="A24" s="19" t="s">
        <v>27</v>
      </c>
      <c r="B24" s="63" t="s">
        <v>28</v>
      </c>
      <c r="C24" s="64"/>
      <c r="D24" s="65" t="e">
        <f t="shared" si="0"/>
        <v>#REF!</v>
      </c>
      <c r="E24" s="65" t="e">
        <f>'Додаток2 скор'!E23+#REF!+#REF!</f>
        <v>#REF!</v>
      </c>
      <c r="F24" s="65" t="e">
        <f t="shared" si="1"/>
        <v>#REF!</v>
      </c>
      <c r="G24" s="65" t="e">
        <f>'Додаток2 скор'!G23+#REF!+#REF!</f>
        <v>#REF!</v>
      </c>
      <c r="H24" s="65" t="e">
        <f>SUM(H25:H27)</f>
        <v>#REF!</v>
      </c>
      <c r="I24" s="65" t="e">
        <f>'Додаток2 скор'!I23+#REF!+#REF!</f>
        <v>#REF!</v>
      </c>
      <c r="J24" s="66" t="e">
        <f t="shared" si="2"/>
        <v>#REF!</v>
      </c>
      <c r="K24" s="71" t="e">
        <f>'Додаток2 скор'!K23+#REF!+#REF!</f>
        <v>#REF!</v>
      </c>
      <c r="L24" s="71" t="e">
        <f>'Додаток2 скор'!L23+#REF!+#REF!</f>
        <v>#REF!</v>
      </c>
      <c r="M24" s="65" t="e">
        <f>SUM(M25:M27)</f>
        <v>#REF!</v>
      </c>
      <c r="N24" s="65" t="e">
        <f>'Додаток2 скор'!N23+#REF!+#REF!</f>
        <v>#REF!</v>
      </c>
      <c r="O24" s="66" t="e">
        <f t="shared" si="6"/>
        <v>#REF!</v>
      </c>
      <c r="P24" s="65" t="e">
        <f>SUM(P25:P27)</f>
        <v>#REF!</v>
      </c>
      <c r="Q24" s="65" t="e">
        <f>'Додаток2 скор'!Q23+#REF!+#REF!</f>
        <v>#REF!</v>
      </c>
      <c r="R24" s="65" t="e">
        <f>SUM(R25:R27)</f>
        <v>#REF!</v>
      </c>
      <c r="S24" s="65" t="e">
        <f>'Додаток2 скор'!S23+#REF!+#REF!</f>
        <v>#REF!</v>
      </c>
      <c r="T24" s="66" t="e">
        <f t="shared" si="5"/>
        <v>#REF!</v>
      </c>
      <c r="U24" s="65" t="e">
        <f>SUM(U25:U27)</f>
        <v>#REF!</v>
      </c>
      <c r="V24" s="65" t="e">
        <f>'Додаток2 скор'!V23+#REF!+#REF!</f>
        <v>#REF!</v>
      </c>
      <c r="W24" s="86">
        <v>1176.43</v>
      </c>
      <c r="X24" s="68">
        <v>19.19</v>
      </c>
      <c r="Y24" s="69">
        <v>1001.34</v>
      </c>
      <c r="Z24" s="68">
        <v>19.19</v>
      </c>
      <c r="AA24" s="69">
        <v>138.85</v>
      </c>
      <c r="AB24" s="68">
        <v>19.19</v>
      </c>
      <c r="AC24" s="69">
        <v>36.25</v>
      </c>
      <c r="AD24" s="68">
        <v>19.19</v>
      </c>
      <c r="AE24" s="35"/>
    </row>
    <row r="25" spans="1:110" s="43" customFormat="1" ht="16.5" customHeight="1">
      <c r="A25" s="37" t="s">
        <v>29</v>
      </c>
      <c r="B25" s="44" t="s">
        <v>46</v>
      </c>
      <c r="C25" s="70" t="s">
        <v>79</v>
      </c>
      <c r="D25" s="71" t="e">
        <f t="shared" si="0"/>
        <v>#REF!</v>
      </c>
      <c r="E25" s="71" t="e">
        <f>'Додаток2 скор'!E24+#REF!+#REF!</f>
        <v>#REF!</v>
      </c>
      <c r="F25" s="71" t="e">
        <f t="shared" si="1"/>
        <v>#REF!</v>
      </c>
      <c r="G25" s="71" t="e">
        <f>'Додаток2 скор'!G24+#REF!+#REF!</f>
        <v>#REF!</v>
      </c>
      <c r="H25" s="71" t="e">
        <f>'Додаток2 скор'!H24+#REF!+#REF!</f>
        <v>#REF!</v>
      </c>
      <c r="I25" s="71" t="e">
        <f>'Додаток2 скор'!I24+#REF!+#REF!</f>
        <v>#REF!</v>
      </c>
      <c r="J25" s="72" t="e">
        <f t="shared" si="2"/>
        <v>#REF!</v>
      </c>
      <c r="K25" s="71" t="e">
        <f>'Додаток2 скор'!K24+#REF!+#REF!</f>
        <v>#REF!</v>
      </c>
      <c r="L25" s="71" t="e">
        <f>'Додаток2 скор'!L24+#REF!+#REF!</f>
        <v>#REF!</v>
      </c>
      <c r="M25" s="71" t="e">
        <f>'Додаток2 скор'!M24+#REF!+#REF!</f>
        <v>#REF!</v>
      </c>
      <c r="N25" s="71" t="e">
        <f>'Додаток2 скор'!N24+#REF!+#REF!</f>
        <v>#REF!</v>
      </c>
      <c r="O25" s="72" t="e">
        <f t="shared" si="6"/>
        <v>#REF!</v>
      </c>
      <c r="P25" s="71" t="e">
        <f>'Додаток2 скор'!P24+#REF!+#REF!</f>
        <v>#REF!</v>
      </c>
      <c r="Q25" s="71" t="e">
        <f>'Додаток2 скор'!Q24+#REF!+#REF!</f>
        <v>#REF!</v>
      </c>
      <c r="R25" s="71" t="e">
        <f>'Додаток2 скор'!R24+#REF!+#REF!</f>
        <v>#REF!</v>
      </c>
      <c r="S25" s="71" t="e">
        <f>'Додаток2 скор'!S24+#REF!+#REF!</f>
        <v>#REF!</v>
      </c>
      <c r="T25" s="72" t="e">
        <f t="shared" si="5"/>
        <v>#REF!</v>
      </c>
      <c r="U25" s="71" t="e">
        <f>'Додаток2 скор'!U24+#REF!+#REF!</f>
        <v>#REF!</v>
      </c>
      <c r="V25" s="71" t="e">
        <f>'Додаток2 скор'!V24+#REF!+#REF!</f>
        <v>#REF!</v>
      </c>
      <c r="W25" s="77">
        <v>470.75</v>
      </c>
      <c r="X25" s="74">
        <v>7.68</v>
      </c>
      <c r="Y25" s="73">
        <v>400.69</v>
      </c>
      <c r="Z25" s="74">
        <v>7.68</v>
      </c>
      <c r="AA25" s="73">
        <v>55.56</v>
      </c>
      <c r="AB25" s="76">
        <v>7.68</v>
      </c>
      <c r="AC25" s="73">
        <v>14.5</v>
      </c>
      <c r="AD25" s="76">
        <v>7.68</v>
      </c>
      <c r="AE25" s="35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</row>
    <row r="26" spans="1:110" s="43" customFormat="1" ht="16.5" customHeight="1">
      <c r="A26" s="37" t="s">
        <v>31</v>
      </c>
      <c r="B26" s="44" t="s">
        <v>30</v>
      </c>
      <c r="C26" s="70" t="s">
        <v>79</v>
      </c>
      <c r="D26" s="71" t="e">
        <f t="shared" si="0"/>
        <v>#REF!</v>
      </c>
      <c r="E26" s="71" t="e">
        <f>'Додаток2 скор'!E25+#REF!+#REF!</f>
        <v>#REF!</v>
      </c>
      <c r="F26" s="71" t="e">
        <f t="shared" si="1"/>
        <v>#REF!</v>
      </c>
      <c r="G26" s="71" t="e">
        <f>'Додаток2 скор'!G25+#REF!+#REF!</f>
        <v>#REF!</v>
      </c>
      <c r="H26" s="71" t="e">
        <f>'Додаток2 скор'!H25+#REF!+#REF!</f>
        <v>#REF!</v>
      </c>
      <c r="I26" s="71" t="e">
        <f>'Додаток2 скор'!I25+#REF!+#REF!</f>
        <v>#REF!</v>
      </c>
      <c r="J26" s="72" t="e">
        <f t="shared" si="2"/>
        <v>#REF!</v>
      </c>
      <c r="K26" s="71" t="e">
        <f>'Додаток2 скор'!K25+#REF!+#REF!</f>
        <v>#REF!</v>
      </c>
      <c r="L26" s="71" t="e">
        <f>'Додаток2 скор'!L25+#REF!+#REF!</f>
        <v>#REF!</v>
      </c>
      <c r="M26" s="71" t="e">
        <f>'Додаток2 скор'!M25+#REF!+#REF!</f>
        <v>#REF!</v>
      </c>
      <c r="N26" s="71" t="e">
        <f>'Додаток2 скор'!N25+#REF!+#REF!</f>
        <v>#REF!</v>
      </c>
      <c r="O26" s="72" t="e">
        <f t="shared" si="6"/>
        <v>#REF!</v>
      </c>
      <c r="P26" s="71" t="e">
        <f>'Додаток2 скор'!P25+#REF!+#REF!</f>
        <v>#REF!</v>
      </c>
      <c r="Q26" s="71" t="e">
        <f>'Додаток2 скор'!Q25+#REF!+#REF!</f>
        <v>#REF!</v>
      </c>
      <c r="R26" s="71" t="e">
        <f>'Додаток2 скор'!R25+#REF!+#REF!</f>
        <v>#REF!</v>
      </c>
      <c r="S26" s="71" t="e">
        <f>'Додаток2 скор'!S25+#REF!+#REF!</f>
        <v>#REF!</v>
      </c>
      <c r="T26" s="72" t="e">
        <f t="shared" si="5"/>
        <v>#REF!</v>
      </c>
      <c r="U26" s="71" t="e">
        <f>'Додаток2 скор'!U25+#REF!+#REF!</f>
        <v>#REF!</v>
      </c>
      <c r="V26" s="71" t="e">
        <f>'Додаток2 скор'!V25+#REF!+#REF!</f>
        <v>#REF!</v>
      </c>
      <c r="W26" s="77">
        <v>455.67</v>
      </c>
      <c r="X26" s="74">
        <v>7.43</v>
      </c>
      <c r="Y26" s="73">
        <v>387.85</v>
      </c>
      <c r="Z26" s="74">
        <v>7.43</v>
      </c>
      <c r="AA26" s="73">
        <v>53.78</v>
      </c>
      <c r="AB26" s="76">
        <v>7.43</v>
      </c>
      <c r="AC26" s="73">
        <v>14.04</v>
      </c>
      <c r="AD26" s="76">
        <v>7.43</v>
      </c>
      <c r="AE26" s="35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</row>
    <row r="27" spans="1:110" s="43" customFormat="1" ht="16.5" customHeight="1">
      <c r="A27" s="37" t="s">
        <v>94</v>
      </c>
      <c r="B27" s="44" t="s">
        <v>32</v>
      </c>
      <c r="C27" s="70" t="s">
        <v>79</v>
      </c>
      <c r="D27" s="71" t="e">
        <f t="shared" si="0"/>
        <v>#REF!</v>
      </c>
      <c r="E27" s="71" t="e">
        <f>'Додаток2 скор'!E26+#REF!+#REF!</f>
        <v>#REF!</v>
      </c>
      <c r="F27" s="71" t="e">
        <f t="shared" si="1"/>
        <v>#REF!</v>
      </c>
      <c r="G27" s="71" t="e">
        <f>'Додаток2 скор'!G26+#REF!+#REF!</f>
        <v>#REF!</v>
      </c>
      <c r="H27" s="71" t="e">
        <f>'Додаток2 скор'!H26+#REF!+#REF!</f>
        <v>#REF!</v>
      </c>
      <c r="I27" s="71" t="e">
        <f>'Додаток2 скор'!I26+#REF!+#REF!</f>
        <v>#REF!</v>
      </c>
      <c r="J27" s="72" t="e">
        <f t="shared" si="2"/>
        <v>#REF!</v>
      </c>
      <c r="K27" s="71" t="e">
        <f>'Додаток2 скор'!K26+#REF!+#REF!</f>
        <v>#REF!</v>
      </c>
      <c r="L27" s="71" t="e">
        <f>'Додаток2 скор'!L26+#REF!+#REF!</f>
        <v>#REF!</v>
      </c>
      <c r="M27" s="71" t="e">
        <f>'Додаток2 скор'!M26+#REF!+#REF!</f>
        <v>#REF!</v>
      </c>
      <c r="N27" s="71" t="e">
        <f>'Додаток2 скор'!N26+#REF!+#REF!</f>
        <v>#REF!</v>
      </c>
      <c r="O27" s="72" t="e">
        <f t="shared" si="6"/>
        <v>#REF!</v>
      </c>
      <c r="P27" s="71" t="e">
        <f>'Додаток2 скор'!P26+#REF!+#REF!</f>
        <v>#REF!</v>
      </c>
      <c r="Q27" s="71" t="e">
        <f>'Додаток2 скор'!Q26+#REF!+#REF!</f>
        <v>#REF!</v>
      </c>
      <c r="R27" s="71" t="e">
        <f>'Додаток2 скор'!R26+#REF!+#REF!</f>
        <v>#REF!</v>
      </c>
      <c r="S27" s="71" t="e">
        <f>'Додаток2 скор'!S26+#REF!+#REF!</f>
        <v>#REF!</v>
      </c>
      <c r="T27" s="72" t="e">
        <f t="shared" si="5"/>
        <v>#REF!</v>
      </c>
      <c r="U27" s="71" t="e">
        <f>'Додаток2 скор'!U26+#REF!+#REF!</f>
        <v>#REF!</v>
      </c>
      <c r="V27" s="71" t="e">
        <f>'Додаток2 скор'!V26+#REF!+#REF!</f>
        <v>#REF!</v>
      </c>
      <c r="W27" s="77">
        <v>250.01</v>
      </c>
      <c r="X27" s="74">
        <v>4.08</v>
      </c>
      <c r="Y27" s="73">
        <v>212.8</v>
      </c>
      <c r="Z27" s="74">
        <v>4.08</v>
      </c>
      <c r="AA27" s="73">
        <v>29.51</v>
      </c>
      <c r="AB27" s="76">
        <v>4.08</v>
      </c>
      <c r="AC27" s="73">
        <v>7.7</v>
      </c>
      <c r="AD27" s="76">
        <v>4.08</v>
      </c>
      <c r="AE27" s="35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</row>
    <row r="28" spans="1:31" s="36" customFormat="1" ht="18" customHeight="1">
      <c r="A28" s="19" t="s">
        <v>33</v>
      </c>
      <c r="B28" s="63" t="s">
        <v>34</v>
      </c>
      <c r="C28" s="64" t="s">
        <v>79</v>
      </c>
      <c r="D28" s="65" t="e">
        <f t="shared" si="0"/>
        <v>#REF!</v>
      </c>
      <c r="E28" s="65" t="e">
        <f>'Додаток2 скор'!E27+#REF!+#REF!</f>
        <v>#REF!</v>
      </c>
      <c r="F28" s="65" t="e">
        <f t="shared" si="1"/>
        <v>#REF!</v>
      </c>
      <c r="G28" s="65" t="e">
        <f>'Додаток2 скор'!G27+#REF!+#REF!</f>
        <v>#REF!</v>
      </c>
      <c r="H28" s="65" t="e">
        <f>SUM(H29:H31)</f>
        <v>#REF!</v>
      </c>
      <c r="I28" s="65" t="e">
        <f>'Додаток2 скор'!I27+#REF!+#REF!</f>
        <v>#REF!</v>
      </c>
      <c r="J28" s="66" t="e">
        <f t="shared" si="2"/>
        <v>#REF!</v>
      </c>
      <c r="K28" s="65" t="e">
        <f>'Додаток2 скор'!K27+#REF!+#REF!</f>
        <v>#REF!</v>
      </c>
      <c r="L28" s="65" t="e">
        <f>'Додаток2 скор'!L27+#REF!+#REF!</f>
        <v>#REF!</v>
      </c>
      <c r="M28" s="65" t="e">
        <f>SUM(M29:M31)</f>
        <v>#REF!</v>
      </c>
      <c r="N28" s="65" t="e">
        <f>'Додаток2 скор'!N27+#REF!+#REF!</f>
        <v>#REF!</v>
      </c>
      <c r="O28" s="66" t="e">
        <f t="shared" si="6"/>
        <v>#REF!</v>
      </c>
      <c r="P28" s="65" t="e">
        <f>SUM(P29:P31)</f>
        <v>#REF!</v>
      </c>
      <c r="Q28" s="65" t="e">
        <f>'Додаток2 скор'!Q27+#REF!+#REF!</f>
        <v>#REF!</v>
      </c>
      <c r="R28" s="65" t="e">
        <f>SUM(R29:R31)</f>
        <v>#REF!</v>
      </c>
      <c r="S28" s="65" t="e">
        <f>'Додаток2 скор'!S27+#REF!+#REF!</f>
        <v>#REF!</v>
      </c>
      <c r="T28" s="66" t="e">
        <f t="shared" si="5"/>
        <v>#REF!</v>
      </c>
      <c r="U28" s="65" t="e">
        <f>SUM(U29:U31)</f>
        <v>#REF!</v>
      </c>
      <c r="V28" s="65" t="e">
        <f>'Додаток2 скор'!V27+#REF!+#REF!</f>
        <v>#REF!</v>
      </c>
      <c r="W28" s="86">
        <v>0</v>
      </c>
      <c r="X28" s="68">
        <v>0</v>
      </c>
      <c r="Y28" s="69">
        <v>0</v>
      </c>
      <c r="Z28" s="68">
        <v>0</v>
      </c>
      <c r="AA28" s="69">
        <v>0</v>
      </c>
      <c r="AB28" s="68">
        <v>0</v>
      </c>
      <c r="AC28" s="69">
        <v>0</v>
      </c>
      <c r="AD28" s="68">
        <v>0</v>
      </c>
      <c r="AE28" s="35"/>
    </row>
    <row r="29" spans="1:110" s="43" customFormat="1" ht="16.5" customHeight="1">
      <c r="A29" s="37" t="s">
        <v>35</v>
      </c>
      <c r="B29" s="44" t="s">
        <v>44</v>
      </c>
      <c r="C29" s="70" t="s">
        <v>79</v>
      </c>
      <c r="D29" s="71" t="e">
        <f t="shared" si="0"/>
        <v>#REF!</v>
      </c>
      <c r="E29" s="71" t="e">
        <f>'Додаток2 скор'!E28+#REF!+#REF!</f>
        <v>#REF!</v>
      </c>
      <c r="F29" s="71" t="e">
        <f t="shared" si="1"/>
        <v>#REF!</v>
      </c>
      <c r="G29" s="71" t="e">
        <f>'Додаток2 скор'!G28+#REF!+#REF!</f>
        <v>#REF!</v>
      </c>
      <c r="H29" s="71" t="e">
        <f>'Додаток2 скор'!H28+#REF!+#REF!</f>
        <v>#REF!</v>
      </c>
      <c r="I29" s="71" t="e">
        <f>'Додаток2 скор'!I28+#REF!+#REF!</f>
        <v>#REF!</v>
      </c>
      <c r="J29" s="72" t="e">
        <f t="shared" si="2"/>
        <v>#REF!</v>
      </c>
      <c r="K29" s="71" t="e">
        <f>'Додаток2 скор'!K28+#REF!+#REF!</f>
        <v>#REF!</v>
      </c>
      <c r="L29" s="71" t="e">
        <f>'Додаток2 скор'!L28+#REF!+#REF!</f>
        <v>#REF!</v>
      </c>
      <c r="M29" s="71" t="e">
        <f>'Додаток2 скор'!M28+#REF!+#REF!</f>
        <v>#REF!</v>
      </c>
      <c r="N29" s="71" t="e">
        <f>'Додаток2 скор'!N28+#REF!+#REF!</f>
        <v>#REF!</v>
      </c>
      <c r="O29" s="72" t="e">
        <f t="shared" si="6"/>
        <v>#REF!</v>
      </c>
      <c r="P29" s="71" t="e">
        <f>'Додаток2 скор'!P28+#REF!+#REF!</f>
        <v>#REF!</v>
      </c>
      <c r="Q29" s="71" t="e">
        <f>'Додаток2 скор'!Q28+#REF!+#REF!</f>
        <v>#REF!</v>
      </c>
      <c r="R29" s="71" t="e">
        <f>'Додаток2 скор'!R28+#REF!+#REF!</f>
        <v>#REF!</v>
      </c>
      <c r="S29" s="71" t="e">
        <f>'Додаток2 скор'!S28+#REF!+#REF!</f>
        <v>#REF!</v>
      </c>
      <c r="T29" s="72" t="e">
        <f t="shared" si="5"/>
        <v>#REF!</v>
      </c>
      <c r="U29" s="71" t="e">
        <f>'Додаток2 скор'!U28+#REF!+#REF!</f>
        <v>#REF!</v>
      </c>
      <c r="V29" s="71" t="e">
        <f>'Додаток2 скор'!V28+#REF!+#REF!</f>
        <v>#REF!</v>
      </c>
      <c r="W29" s="77">
        <v>0</v>
      </c>
      <c r="X29" s="74">
        <v>0</v>
      </c>
      <c r="Y29" s="75">
        <v>0</v>
      </c>
      <c r="Z29" s="74">
        <v>0</v>
      </c>
      <c r="AA29" s="75">
        <v>0</v>
      </c>
      <c r="AB29" s="76">
        <v>0</v>
      </c>
      <c r="AC29" s="75">
        <v>0</v>
      </c>
      <c r="AD29" s="76">
        <v>0</v>
      </c>
      <c r="AE29" s="35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</row>
    <row r="30" spans="1:110" s="43" customFormat="1" ht="16.5" customHeight="1">
      <c r="A30" s="37" t="s">
        <v>37</v>
      </c>
      <c r="B30" s="44" t="s">
        <v>46</v>
      </c>
      <c r="C30" s="70" t="s">
        <v>79</v>
      </c>
      <c r="D30" s="71" t="e">
        <f t="shared" si="0"/>
        <v>#REF!</v>
      </c>
      <c r="E30" s="71" t="e">
        <f>'Додаток2 скор'!E29+#REF!+#REF!</f>
        <v>#REF!</v>
      </c>
      <c r="F30" s="71" t="e">
        <f t="shared" si="1"/>
        <v>#REF!</v>
      </c>
      <c r="G30" s="71" t="e">
        <f>'Додаток2 скор'!G29+#REF!+#REF!</f>
        <v>#REF!</v>
      </c>
      <c r="H30" s="71" t="e">
        <f>'Додаток2 скор'!H29+#REF!+#REF!</f>
        <v>#REF!</v>
      </c>
      <c r="I30" s="71" t="e">
        <f>'Додаток2 скор'!I29+#REF!+#REF!</f>
        <v>#REF!</v>
      </c>
      <c r="J30" s="72" t="e">
        <f t="shared" si="2"/>
        <v>#REF!</v>
      </c>
      <c r="K30" s="71" t="e">
        <f>'Додаток2 скор'!K29+#REF!+#REF!</f>
        <v>#REF!</v>
      </c>
      <c r="L30" s="71" t="e">
        <f>'Додаток2 скор'!L29+#REF!+#REF!</f>
        <v>#REF!</v>
      </c>
      <c r="M30" s="71" t="e">
        <f>'Додаток2 скор'!M29+#REF!+#REF!</f>
        <v>#REF!</v>
      </c>
      <c r="N30" s="71" t="e">
        <f>'Додаток2 скор'!N29+#REF!+#REF!</f>
        <v>#REF!</v>
      </c>
      <c r="O30" s="72" t="e">
        <f t="shared" si="6"/>
        <v>#REF!</v>
      </c>
      <c r="P30" s="71" t="e">
        <f>'Додаток2 скор'!P29+#REF!+#REF!</f>
        <v>#REF!</v>
      </c>
      <c r="Q30" s="71" t="e">
        <f>'Додаток2 скор'!Q29+#REF!+#REF!</f>
        <v>#REF!</v>
      </c>
      <c r="R30" s="71" t="e">
        <f>'Додаток2 скор'!R29+#REF!+#REF!</f>
        <v>#REF!</v>
      </c>
      <c r="S30" s="71" t="e">
        <f>'Додаток2 скор'!S29+#REF!+#REF!</f>
        <v>#REF!</v>
      </c>
      <c r="T30" s="72" t="e">
        <f t="shared" si="5"/>
        <v>#REF!</v>
      </c>
      <c r="U30" s="71" t="e">
        <f>'Додаток2 скор'!U29+#REF!+#REF!</f>
        <v>#REF!</v>
      </c>
      <c r="V30" s="71" t="e">
        <f>'Додаток2 скор'!V29+#REF!+#REF!</f>
        <v>#REF!</v>
      </c>
      <c r="W30" s="77">
        <v>0</v>
      </c>
      <c r="X30" s="74">
        <v>0</v>
      </c>
      <c r="Y30" s="75">
        <v>0</v>
      </c>
      <c r="Z30" s="74">
        <v>0</v>
      </c>
      <c r="AA30" s="75">
        <v>0</v>
      </c>
      <c r="AB30" s="76">
        <v>0</v>
      </c>
      <c r="AC30" s="75">
        <v>0</v>
      </c>
      <c r="AD30" s="76">
        <v>0</v>
      </c>
      <c r="AE30" s="35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</row>
    <row r="31" spans="1:110" s="43" customFormat="1" ht="16.5" customHeight="1">
      <c r="A31" s="37" t="s">
        <v>95</v>
      </c>
      <c r="B31" s="44" t="s">
        <v>38</v>
      </c>
      <c r="C31" s="70" t="s">
        <v>79</v>
      </c>
      <c r="D31" s="71" t="e">
        <f t="shared" si="0"/>
        <v>#REF!</v>
      </c>
      <c r="E31" s="71" t="e">
        <f>'Додаток2 скор'!E30+#REF!+#REF!</f>
        <v>#REF!</v>
      </c>
      <c r="F31" s="71" t="e">
        <f t="shared" si="1"/>
        <v>#REF!</v>
      </c>
      <c r="G31" s="71" t="e">
        <f>'Додаток2 скор'!G30+#REF!+#REF!</f>
        <v>#REF!</v>
      </c>
      <c r="H31" s="71" t="e">
        <f>'Додаток2 скор'!H30+#REF!+#REF!</f>
        <v>#REF!</v>
      </c>
      <c r="I31" s="71" t="e">
        <f>'Додаток2 скор'!I30+#REF!+#REF!</f>
        <v>#REF!</v>
      </c>
      <c r="J31" s="72" t="e">
        <f t="shared" si="2"/>
        <v>#REF!</v>
      </c>
      <c r="K31" s="71" t="e">
        <f>'Додаток2 скор'!K30+#REF!+#REF!</f>
        <v>#REF!</v>
      </c>
      <c r="L31" s="71" t="e">
        <f>'Додаток2 скор'!L30+#REF!+#REF!</f>
        <v>#REF!</v>
      </c>
      <c r="M31" s="71" t="e">
        <f>'Додаток2 скор'!M30+#REF!+#REF!</f>
        <v>#REF!</v>
      </c>
      <c r="N31" s="71" t="e">
        <f>'Додаток2 скор'!N30+#REF!+#REF!</f>
        <v>#REF!</v>
      </c>
      <c r="O31" s="72" t="e">
        <f t="shared" si="6"/>
        <v>#REF!</v>
      </c>
      <c r="P31" s="71" t="e">
        <f>'Додаток2 скор'!P30+#REF!+#REF!</f>
        <v>#REF!</v>
      </c>
      <c r="Q31" s="71" t="e">
        <f>'Додаток2 скор'!Q30+#REF!+#REF!</f>
        <v>#REF!</v>
      </c>
      <c r="R31" s="71" t="e">
        <f>'Додаток2 скор'!R30+#REF!+#REF!</f>
        <v>#REF!</v>
      </c>
      <c r="S31" s="71" t="e">
        <f>'Додаток2 скор'!S30+#REF!+#REF!</f>
        <v>#REF!</v>
      </c>
      <c r="T31" s="72" t="e">
        <f t="shared" si="5"/>
        <v>#REF!</v>
      </c>
      <c r="U31" s="71" t="e">
        <f>'Додаток2 скор'!U30+#REF!+#REF!</f>
        <v>#REF!</v>
      </c>
      <c r="V31" s="71" t="e">
        <f>'Додаток2 скор'!V30+#REF!+#REF!</f>
        <v>#REF!</v>
      </c>
      <c r="W31" s="77">
        <v>0</v>
      </c>
      <c r="X31" s="74">
        <v>0</v>
      </c>
      <c r="Y31" s="75">
        <v>0</v>
      </c>
      <c r="Z31" s="74">
        <v>0</v>
      </c>
      <c r="AA31" s="75">
        <v>0</v>
      </c>
      <c r="AB31" s="76">
        <v>0</v>
      </c>
      <c r="AC31" s="75">
        <v>0</v>
      </c>
      <c r="AD31" s="76">
        <v>0</v>
      </c>
      <c r="AE31" s="35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</row>
    <row r="32" spans="1:31" s="36" customFormat="1" ht="16.5" customHeight="1">
      <c r="A32" s="19" t="s">
        <v>39</v>
      </c>
      <c r="B32" s="63" t="s">
        <v>40</v>
      </c>
      <c r="C32" s="64" t="s">
        <v>79</v>
      </c>
      <c r="D32" s="65" t="e">
        <f t="shared" si="0"/>
        <v>#REF!</v>
      </c>
      <c r="E32" s="65" t="e">
        <f>'Додаток2 скор'!E31+#REF!+#REF!</f>
        <v>#REF!</v>
      </c>
      <c r="F32" s="65" t="e">
        <f t="shared" si="1"/>
        <v>#REF!</v>
      </c>
      <c r="G32" s="65" t="e">
        <f>'Додаток2 скор'!G31+#REF!+#REF!</f>
        <v>#REF!</v>
      </c>
      <c r="H32" s="65" t="e">
        <f>SUM(H33:H35)</f>
        <v>#REF!</v>
      </c>
      <c r="I32" s="65" t="e">
        <f>'Додаток2 скор'!I31+#REF!+#REF!</f>
        <v>#REF!</v>
      </c>
      <c r="J32" s="66" t="e">
        <f t="shared" si="2"/>
        <v>#REF!</v>
      </c>
      <c r="K32" s="65" t="e">
        <f>'Додаток2 скор'!K31+#REF!+#REF!</f>
        <v>#REF!</v>
      </c>
      <c r="L32" s="65" t="e">
        <f>'Додаток2 скор'!L31+#REF!+#REF!</f>
        <v>#REF!</v>
      </c>
      <c r="M32" s="65" t="e">
        <f>SUM(M33:M35)</f>
        <v>#REF!</v>
      </c>
      <c r="N32" s="65" t="e">
        <f>'Додаток2 скор'!N31+#REF!+#REF!</f>
        <v>#REF!</v>
      </c>
      <c r="O32" s="66" t="e">
        <f t="shared" si="6"/>
        <v>#REF!</v>
      </c>
      <c r="P32" s="65" t="e">
        <f>SUM(P33:P35)</f>
        <v>#REF!</v>
      </c>
      <c r="Q32" s="65" t="e">
        <f>'Додаток2 скор'!Q31+#REF!+#REF!</f>
        <v>#REF!</v>
      </c>
      <c r="R32" s="65" t="e">
        <f>SUM(R33:R35)</f>
        <v>#REF!</v>
      </c>
      <c r="S32" s="65" t="e">
        <f>'Додаток2 скор'!S31+#REF!+#REF!</f>
        <v>#REF!</v>
      </c>
      <c r="T32" s="66" t="e">
        <f t="shared" si="5"/>
        <v>#REF!</v>
      </c>
      <c r="U32" s="65" t="e">
        <f>SUM(U33:U35)</f>
        <v>#REF!</v>
      </c>
      <c r="V32" s="65" t="e">
        <f>'Додаток2 скор'!V31+#REF!+#REF!</f>
        <v>#REF!</v>
      </c>
      <c r="W32" s="86">
        <v>936.23</v>
      </c>
      <c r="X32" s="68">
        <v>15.27</v>
      </c>
      <c r="Y32" s="69">
        <v>796.89</v>
      </c>
      <c r="Z32" s="68">
        <v>15.27</v>
      </c>
      <c r="AA32" s="69">
        <v>110.5</v>
      </c>
      <c r="AB32" s="68">
        <v>15.27</v>
      </c>
      <c r="AC32" s="69">
        <v>28.85</v>
      </c>
      <c r="AD32" s="68">
        <v>15.27</v>
      </c>
      <c r="AE32" s="35"/>
    </row>
    <row r="33" spans="1:110" s="43" customFormat="1" ht="16.5" customHeight="1">
      <c r="A33" s="37" t="s">
        <v>41</v>
      </c>
      <c r="B33" s="44" t="s">
        <v>44</v>
      </c>
      <c r="C33" s="70" t="s">
        <v>79</v>
      </c>
      <c r="D33" s="71" t="e">
        <f t="shared" si="0"/>
        <v>#REF!</v>
      </c>
      <c r="E33" s="71" t="e">
        <f>'Додаток2 скор'!E32+#REF!+#REF!</f>
        <v>#REF!</v>
      </c>
      <c r="F33" s="71" t="e">
        <f t="shared" si="1"/>
        <v>#REF!</v>
      </c>
      <c r="G33" s="71" t="e">
        <f>'Додаток2 скор'!G32+#REF!+#REF!</f>
        <v>#REF!</v>
      </c>
      <c r="H33" s="71" t="e">
        <f>'Додаток2 скор'!H32+#REF!+#REF!</f>
        <v>#REF!</v>
      </c>
      <c r="I33" s="71" t="e">
        <f>'Додаток2 скор'!I32+#REF!+#REF!</f>
        <v>#REF!</v>
      </c>
      <c r="J33" s="72" t="e">
        <f t="shared" si="2"/>
        <v>#REF!</v>
      </c>
      <c r="K33" s="71" t="e">
        <f>'Додаток2 скор'!K32+#REF!+#REF!</f>
        <v>#REF!</v>
      </c>
      <c r="L33" s="71" t="e">
        <f>'Додаток2 скор'!L32+#REF!+#REF!</f>
        <v>#REF!</v>
      </c>
      <c r="M33" s="71" t="e">
        <f>'Додаток2 скор'!M32+#REF!+#REF!</f>
        <v>#REF!</v>
      </c>
      <c r="N33" s="71" t="e">
        <f>'Додаток2 скор'!N32+#REF!+#REF!</f>
        <v>#REF!</v>
      </c>
      <c r="O33" s="72" t="e">
        <f t="shared" si="6"/>
        <v>#REF!</v>
      </c>
      <c r="P33" s="71" t="e">
        <f>'Додаток2 скор'!P32+#REF!+#REF!</f>
        <v>#REF!</v>
      </c>
      <c r="Q33" s="71" t="e">
        <f>'Додаток2 скор'!Q32+#REF!+#REF!</f>
        <v>#REF!</v>
      </c>
      <c r="R33" s="71" t="e">
        <f>'Додаток2 скор'!R32+#REF!+#REF!</f>
        <v>#REF!</v>
      </c>
      <c r="S33" s="71" t="e">
        <f>'Додаток2 скор'!S32+#REF!+#REF!</f>
        <v>#REF!</v>
      </c>
      <c r="T33" s="72" t="e">
        <f t="shared" si="5"/>
        <v>#REF!</v>
      </c>
      <c r="U33" s="71" t="e">
        <f>'Додаток2 скор'!U32+#REF!+#REF!</f>
        <v>#REF!</v>
      </c>
      <c r="V33" s="71" t="e">
        <f>'Додаток2 скор'!V32+#REF!+#REF!</f>
        <v>#REF!</v>
      </c>
      <c r="W33" s="77">
        <v>577.83</v>
      </c>
      <c r="X33" s="74">
        <v>9.43</v>
      </c>
      <c r="Y33" s="75">
        <v>491.83</v>
      </c>
      <c r="Z33" s="74">
        <v>9.43</v>
      </c>
      <c r="AA33" s="75">
        <v>68.2</v>
      </c>
      <c r="AB33" s="76">
        <v>9.43</v>
      </c>
      <c r="AC33" s="75">
        <v>17.8</v>
      </c>
      <c r="AD33" s="76">
        <v>9.43</v>
      </c>
      <c r="AE33" s="35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</row>
    <row r="34" spans="1:110" s="43" customFormat="1" ht="16.5" customHeight="1">
      <c r="A34" s="37" t="s">
        <v>42</v>
      </c>
      <c r="B34" s="44" t="s">
        <v>46</v>
      </c>
      <c r="C34" s="70" t="s">
        <v>79</v>
      </c>
      <c r="D34" s="71" t="e">
        <f t="shared" si="0"/>
        <v>#REF!</v>
      </c>
      <c r="E34" s="71" t="e">
        <f>'Додаток2 скор'!E33+#REF!+#REF!</f>
        <v>#REF!</v>
      </c>
      <c r="F34" s="71" t="e">
        <f t="shared" si="1"/>
        <v>#REF!</v>
      </c>
      <c r="G34" s="71" t="e">
        <f>'Додаток2 скор'!G33+#REF!+#REF!</f>
        <v>#REF!</v>
      </c>
      <c r="H34" s="71" t="e">
        <f>'Додаток2 скор'!H33+#REF!+#REF!</f>
        <v>#REF!</v>
      </c>
      <c r="I34" s="71" t="e">
        <f>'Додаток2 скор'!I33+#REF!+#REF!</f>
        <v>#REF!</v>
      </c>
      <c r="J34" s="72" t="e">
        <f t="shared" si="2"/>
        <v>#REF!</v>
      </c>
      <c r="K34" s="71" t="e">
        <f>'Додаток2 скор'!K33+#REF!+#REF!</f>
        <v>#REF!</v>
      </c>
      <c r="L34" s="71" t="e">
        <f>'Додаток2 скор'!L33+#REF!+#REF!</f>
        <v>#REF!</v>
      </c>
      <c r="M34" s="71" t="e">
        <f>'Додаток2 скор'!M33+#REF!+#REF!</f>
        <v>#REF!</v>
      </c>
      <c r="N34" s="71" t="e">
        <f>'Додаток2 скор'!N33+#REF!+#REF!</f>
        <v>#REF!</v>
      </c>
      <c r="O34" s="72" t="e">
        <f t="shared" si="6"/>
        <v>#REF!</v>
      </c>
      <c r="P34" s="71" t="e">
        <f>'Додаток2 скор'!P33+#REF!+#REF!</f>
        <v>#REF!</v>
      </c>
      <c r="Q34" s="71" t="e">
        <f>'Додаток2 скор'!Q33+#REF!+#REF!</f>
        <v>#REF!</v>
      </c>
      <c r="R34" s="71" t="e">
        <f>'Додаток2 скор'!R33+#REF!+#REF!</f>
        <v>#REF!</v>
      </c>
      <c r="S34" s="71" t="e">
        <f>'Додаток2 скор'!S33+#REF!+#REF!</f>
        <v>#REF!</v>
      </c>
      <c r="T34" s="72" t="e">
        <f t="shared" si="5"/>
        <v>#REF!</v>
      </c>
      <c r="U34" s="71" t="e">
        <f>'Додаток2 скор'!U33+#REF!+#REF!</f>
        <v>#REF!</v>
      </c>
      <c r="V34" s="71" t="e">
        <f>'Додаток2 скор'!V33+#REF!+#REF!</f>
        <v>#REF!</v>
      </c>
      <c r="W34" s="77">
        <v>214.14</v>
      </c>
      <c r="X34" s="74">
        <v>3.49</v>
      </c>
      <c r="Y34" s="75">
        <v>182.27</v>
      </c>
      <c r="Z34" s="74">
        <v>3.49</v>
      </c>
      <c r="AA34" s="75">
        <v>25.27</v>
      </c>
      <c r="AB34" s="76">
        <v>3.49</v>
      </c>
      <c r="AC34" s="75">
        <v>6.6</v>
      </c>
      <c r="AD34" s="76">
        <v>3.49</v>
      </c>
      <c r="AE34" s="35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</row>
    <row r="35" spans="1:110" s="43" customFormat="1" ht="16.5" customHeight="1">
      <c r="A35" s="37" t="s">
        <v>96</v>
      </c>
      <c r="B35" s="44" t="s">
        <v>38</v>
      </c>
      <c r="C35" s="70" t="s">
        <v>79</v>
      </c>
      <c r="D35" s="71" t="e">
        <f t="shared" si="0"/>
        <v>#REF!</v>
      </c>
      <c r="E35" s="71" t="e">
        <f>'Додаток2 скор'!E34+#REF!+#REF!</f>
        <v>#REF!</v>
      </c>
      <c r="F35" s="71" t="e">
        <f t="shared" si="1"/>
        <v>#REF!</v>
      </c>
      <c r="G35" s="71" t="e">
        <f>'Додаток2 скор'!G34+#REF!+#REF!</f>
        <v>#REF!</v>
      </c>
      <c r="H35" s="71" t="e">
        <f>'Додаток2 скор'!H34+#REF!+#REF!</f>
        <v>#REF!</v>
      </c>
      <c r="I35" s="71" t="e">
        <f>'Додаток2 скор'!I34+#REF!+#REF!</f>
        <v>#REF!</v>
      </c>
      <c r="J35" s="72" t="e">
        <f t="shared" si="2"/>
        <v>#REF!</v>
      </c>
      <c r="K35" s="71" t="e">
        <f>'Додаток2 скор'!K34+#REF!+#REF!</f>
        <v>#REF!</v>
      </c>
      <c r="L35" s="71" t="e">
        <f>'Додаток2 скор'!L34+#REF!+#REF!</f>
        <v>#REF!</v>
      </c>
      <c r="M35" s="71" t="e">
        <f>'Додаток2 скор'!M34+#REF!+#REF!</f>
        <v>#REF!</v>
      </c>
      <c r="N35" s="71" t="e">
        <f>'Додаток2 скор'!N34+#REF!+#REF!</f>
        <v>#REF!</v>
      </c>
      <c r="O35" s="72" t="e">
        <f t="shared" si="6"/>
        <v>#REF!</v>
      </c>
      <c r="P35" s="71" t="e">
        <f>'Додаток2 скор'!P34+#REF!+#REF!</f>
        <v>#REF!</v>
      </c>
      <c r="Q35" s="71" t="e">
        <f>'Додаток2 скор'!Q34+#REF!+#REF!</f>
        <v>#REF!</v>
      </c>
      <c r="R35" s="71" t="e">
        <f>'Додаток2 скор'!R34+#REF!+#REF!</f>
        <v>#REF!</v>
      </c>
      <c r="S35" s="71" t="e">
        <f>'Додаток2 скор'!S34+#REF!+#REF!</f>
        <v>#REF!</v>
      </c>
      <c r="T35" s="72" t="e">
        <f t="shared" si="5"/>
        <v>#REF!</v>
      </c>
      <c r="U35" s="71" t="e">
        <f>'Додаток2 скор'!U34+#REF!+#REF!</f>
        <v>#REF!</v>
      </c>
      <c r="V35" s="71" t="e">
        <f>'Додаток2 скор'!V34+#REF!+#REF!</f>
        <v>#REF!</v>
      </c>
      <c r="W35" s="77">
        <v>144.26</v>
      </c>
      <c r="X35" s="74">
        <v>2.35</v>
      </c>
      <c r="Y35" s="75">
        <v>122.79</v>
      </c>
      <c r="Z35" s="74">
        <v>2.35</v>
      </c>
      <c r="AA35" s="75">
        <v>17.03</v>
      </c>
      <c r="AB35" s="76">
        <v>2.35</v>
      </c>
      <c r="AC35" s="75">
        <v>4.44</v>
      </c>
      <c r="AD35" s="76">
        <v>2.35</v>
      </c>
      <c r="AE35" s="35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</row>
    <row r="36" spans="1:31" s="36" customFormat="1" ht="16.5" customHeight="1">
      <c r="A36" s="19">
        <v>3</v>
      </c>
      <c r="B36" s="63" t="s">
        <v>97</v>
      </c>
      <c r="C36" s="64" t="s">
        <v>79</v>
      </c>
      <c r="D36" s="65">
        <f t="shared" si="0"/>
        <v>0</v>
      </c>
      <c r="E36" s="65" t="e">
        <f>'Додаток2 скор'!E35+#REF!+#REF!</f>
        <v>#REF!</v>
      </c>
      <c r="F36" s="65">
        <f t="shared" si="1"/>
        <v>0</v>
      </c>
      <c r="G36" s="65" t="e">
        <f>'Додаток2 скор'!G35+#REF!+#REF!</f>
        <v>#REF!</v>
      </c>
      <c r="H36" s="65">
        <f>SUM(H37:H39)</f>
        <v>0</v>
      </c>
      <c r="I36" s="65" t="e">
        <f>'Додаток2 скор'!I35+#REF!+#REF!</f>
        <v>#REF!</v>
      </c>
      <c r="J36" s="66">
        <f t="shared" si="2"/>
        <v>0</v>
      </c>
      <c r="K36" s="65" t="e">
        <f>'Додаток2 скор'!K35+#REF!+#REF!</f>
        <v>#REF!</v>
      </c>
      <c r="L36" s="65" t="e">
        <f>'Додаток2 скор'!L35+#REF!+#REF!</f>
        <v>#REF!</v>
      </c>
      <c r="M36" s="65">
        <f>SUM(M37:M39)</f>
        <v>0</v>
      </c>
      <c r="N36" s="65" t="e">
        <f>'Додаток2 скор'!N35+#REF!+#REF!</f>
        <v>#REF!</v>
      </c>
      <c r="O36" s="66">
        <f t="shared" si="6"/>
        <v>0</v>
      </c>
      <c r="P36" s="65">
        <f>SUM(P37:P39)</f>
        <v>0</v>
      </c>
      <c r="Q36" s="65" t="e">
        <f>'Додаток2 скор'!Q35+#REF!+#REF!</f>
        <v>#REF!</v>
      </c>
      <c r="R36" s="65">
        <f>SUM(R37:R39)</f>
        <v>0</v>
      </c>
      <c r="S36" s="65" t="e">
        <f>'Додаток2 скор'!S35+#REF!+#REF!</f>
        <v>#REF!</v>
      </c>
      <c r="T36" s="66">
        <f t="shared" si="5"/>
        <v>0</v>
      </c>
      <c r="U36" s="65">
        <f>SUM(U37:U39)</f>
        <v>0</v>
      </c>
      <c r="V36" s="65" t="e">
        <f>'Додаток2 скор'!V35+#REF!+#REF!</f>
        <v>#REF!</v>
      </c>
      <c r="W36" s="86">
        <v>0</v>
      </c>
      <c r="X36" s="68">
        <v>0</v>
      </c>
      <c r="Y36" s="69">
        <v>0</v>
      </c>
      <c r="Z36" s="68">
        <v>0</v>
      </c>
      <c r="AA36" s="69">
        <v>0</v>
      </c>
      <c r="AB36" s="68">
        <v>0</v>
      </c>
      <c r="AC36" s="69">
        <v>0</v>
      </c>
      <c r="AD36" s="68">
        <v>0</v>
      </c>
      <c r="AE36" s="35"/>
    </row>
    <row r="37" spans="1:110" ht="16.5" customHeight="1" hidden="1">
      <c r="A37" s="37" t="s">
        <v>43</v>
      </c>
      <c r="B37" s="44" t="s">
        <v>44</v>
      </c>
      <c r="C37" s="70" t="s">
        <v>79</v>
      </c>
      <c r="D37" s="71">
        <f t="shared" si="0"/>
        <v>0</v>
      </c>
      <c r="E37" s="71" t="e">
        <f>'Додаток2 скор'!E36+#REF!+#REF!</f>
        <v>#REF!</v>
      </c>
      <c r="F37" s="71">
        <f t="shared" si="1"/>
        <v>0</v>
      </c>
      <c r="G37" s="71" t="e">
        <f>'Додаток2 скор'!G36+#REF!+#REF!</f>
        <v>#REF!</v>
      </c>
      <c r="H37" s="65">
        <v>0</v>
      </c>
      <c r="I37" s="65" t="e">
        <f>'Додаток2 скор'!I36+#REF!+#REF!</f>
        <v>#REF!</v>
      </c>
      <c r="J37" s="66">
        <f t="shared" si="2"/>
        <v>0</v>
      </c>
      <c r="K37" s="65" t="e">
        <f>'Додаток2 скор'!K36+#REF!+#REF!</f>
        <v>#REF!</v>
      </c>
      <c r="L37" s="65" t="e">
        <f>'Додаток2 скор'!L36+#REF!+#REF!</f>
        <v>#REF!</v>
      </c>
      <c r="M37" s="65">
        <v>0</v>
      </c>
      <c r="N37" s="65" t="e">
        <f>'Додаток2 скор'!N36+#REF!+#REF!</f>
        <v>#REF!</v>
      </c>
      <c r="O37" s="66">
        <f t="shared" si="6"/>
        <v>0</v>
      </c>
      <c r="P37" s="65">
        <v>0</v>
      </c>
      <c r="Q37" s="65" t="e">
        <f>'Додаток2 скор'!Q36+#REF!+#REF!</f>
        <v>#REF!</v>
      </c>
      <c r="R37" s="65">
        <v>0</v>
      </c>
      <c r="S37" s="65" t="e">
        <f>'Додаток2 скор'!S36+#REF!+#REF!</f>
        <v>#REF!</v>
      </c>
      <c r="T37" s="66">
        <f t="shared" si="5"/>
        <v>0</v>
      </c>
      <c r="U37" s="65">
        <v>0</v>
      </c>
      <c r="V37" s="65" t="e">
        <f>'Додаток2 скор'!V36+#REF!+#REF!</f>
        <v>#REF!</v>
      </c>
      <c r="W37" s="77">
        <v>0</v>
      </c>
      <c r="X37" s="74">
        <v>0</v>
      </c>
      <c r="Y37" s="75">
        <v>0</v>
      </c>
      <c r="Z37" s="74">
        <v>0</v>
      </c>
      <c r="AA37" s="75">
        <v>0</v>
      </c>
      <c r="AB37" s="76">
        <v>0</v>
      </c>
      <c r="AC37" s="75">
        <v>0</v>
      </c>
      <c r="AD37" s="76">
        <v>0</v>
      </c>
      <c r="AE37" s="35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</row>
    <row r="38" spans="1:110" ht="16.5" customHeight="1" hidden="1">
      <c r="A38" s="37" t="s">
        <v>45</v>
      </c>
      <c r="B38" s="44" t="s">
        <v>46</v>
      </c>
      <c r="C38" s="70" t="s">
        <v>79</v>
      </c>
      <c r="D38" s="71">
        <f t="shared" si="0"/>
        <v>0</v>
      </c>
      <c r="E38" s="71" t="e">
        <f>'Додаток2 скор'!E37+#REF!+#REF!</f>
        <v>#REF!</v>
      </c>
      <c r="F38" s="71">
        <f t="shared" si="1"/>
        <v>0</v>
      </c>
      <c r="G38" s="71" t="e">
        <f>'Додаток2 скор'!G37+#REF!+#REF!</f>
        <v>#REF!</v>
      </c>
      <c r="H38" s="65">
        <v>0</v>
      </c>
      <c r="I38" s="65" t="e">
        <f>'Додаток2 скор'!I37+#REF!+#REF!</f>
        <v>#REF!</v>
      </c>
      <c r="J38" s="66">
        <f t="shared" si="2"/>
        <v>0</v>
      </c>
      <c r="K38" s="65" t="e">
        <f>'Додаток2 скор'!K37+#REF!+#REF!</f>
        <v>#REF!</v>
      </c>
      <c r="L38" s="65" t="e">
        <f>'Додаток2 скор'!L37+#REF!+#REF!</f>
        <v>#REF!</v>
      </c>
      <c r="M38" s="65">
        <v>0</v>
      </c>
      <c r="N38" s="65" t="e">
        <f>'Додаток2 скор'!N37+#REF!+#REF!</f>
        <v>#REF!</v>
      </c>
      <c r="O38" s="66">
        <f t="shared" si="6"/>
        <v>0</v>
      </c>
      <c r="P38" s="65">
        <v>0</v>
      </c>
      <c r="Q38" s="65" t="e">
        <f>'Додаток2 скор'!Q37+#REF!+#REF!</f>
        <v>#REF!</v>
      </c>
      <c r="R38" s="65">
        <v>0</v>
      </c>
      <c r="S38" s="65" t="e">
        <f>'Додаток2 скор'!S37+#REF!+#REF!</f>
        <v>#REF!</v>
      </c>
      <c r="T38" s="66">
        <f t="shared" si="5"/>
        <v>0</v>
      </c>
      <c r="U38" s="65">
        <v>0</v>
      </c>
      <c r="V38" s="65" t="e">
        <f>'Додаток2 скор'!V37+#REF!+#REF!</f>
        <v>#REF!</v>
      </c>
      <c r="W38" s="77">
        <v>0</v>
      </c>
      <c r="X38" s="74">
        <v>0</v>
      </c>
      <c r="Y38" s="75">
        <v>0</v>
      </c>
      <c r="Z38" s="74">
        <v>0</v>
      </c>
      <c r="AA38" s="75">
        <v>0</v>
      </c>
      <c r="AB38" s="76">
        <v>0</v>
      </c>
      <c r="AC38" s="75">
        <v>0</v>
      </c>
      <c r="AD38" s="76">
        <v>0</v>
      </c>
      <c r="AE38" s="35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</row>
    <row r="39" spans="1:110" ht="16.5" customHeight="1" hidden="1">
      <c r="A39" s="37" t="s">
        <v>47</v>
      </c>
      <c r="B39" s="44" t="s">
        <v>38</v>
      </c>
      <c r="C39" s="70" t="s">
        <v>79</v>
      </c>
      <c r="D39" s="71">
        <f t="shared" si="0"/>
        <v>0</v>
      </c>
      <c r="E39" s="71" t="e">
        <f>'Додаток2 скор'!E38+#REF!+#REF!</f>
        <v>#REF!</v>
      </c>
      <c r="F39" s="71">
        <f t="shared" si="1"/>
        <v>0</v>
      </c>
      <c r="G39" s="71" t="e">
        <f>'Додаток2 скор'!G38+#REF!+#REF!</f>
        <v>#REF!</v>
      </c>
      <c r="H39" s="65">
        <v>0</v>
      </c>
      <c r="I39" s="65" t="e">
        <f>'Додаток2 скор'!I38+#REF!+#REF!</f>
        <v>#REF!</v>
      </c>
      <c r="J39" s="66">
        <f t="shared" si="2"/>
        <v>0</v>
      </c>
      <c r="K39" s="65" t="e">
        <f>'Додаток2 скор'!K38+#REF!+#REF!</f>
        <v>#REF!</v>
      </c>
      <c r="L39" s="65" t="e">
        <f>'Додаток2 скор'!L38+#REF!+#REF!</f>
        <v>#REF!</v>
      </c>
      <c r="M39" s="65">
        <v>0</v>
      </c>
      <c r="N39" s="65" t="e">
        <f>'Додаток2 скор'!N38+#REF!+#REF!</f>
        <v>#REF!</v>
      </c>
      <c r="O39" s="66">
        <f t="shared" si="6"/>
        <v>0</v>
      </c>
      <c r="P39" s="65">
        <v>0</v>
      </c>
      <c r="Q39" s="65" t="e">
        <f>'Додаток2 скор'!Q38+#REF!+#REF!</f>
        <v>#REF!</v>
      </c>
      <c r="R39" s="65">
        <v>0</v>
      </c>
      <c r="S39" s="65" t="e">
        <f>'Додаток2 скор'!S38+#REF!+#REF!</f>
        <v>#REF!</v>
      </c>
      <c r="T39" s="66">
        <f t="shared" si="5"/>
        <v>0</v>
      </c>
      <c r="U39" s="65">
        <v>0</v>
      </c>
      <c r="V39" s="65" t="e">
        <f>'Додаток2 скор'!V38+#REF!+#REF!</f>
        <v>#REF!</v>
      </c>
      <c r="W39" s="77">
        <v>0</v>
      </c>
      <c r="X39" s="74">
        <v>0</v>
      </c>
      <c r="Y39" s="75">
        <v>0</v>
      </c>
      <c r="Z39" s="74">
        <v>0</v>
      </c>
      <c r="AA39" s="75">
        <v>0</v>
      </c>
      <c r="AB39" s="76">
        <v>0</v>
      </c>
      <c r="AC39" s="75">
        <v>0</v>
      </c>
      <c r="AD39" s="76">
        <v>0</v>
      </c>
      <c r="AE39" s="35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</row>
    <row r="40" spans="1:31" s="36" customFormat="1" ht="16.5" customHeight="1">
      <c r="A40" s="19">
        <v>4</v>
      </c>
      <c r="B40" s="63" t="s">
        <v>48</v>
      </c>
      <c r="C40" s="64" t="s">
        <v>79</v>
      </c>
      <c r="D40" s="65" t="e">
        <f t="shared" si="0"/>
        <v>#REF!</v>
      </c>
      <c r="E40" s="65" t="e">
        <f>'Додаток2 скор'!E39+#REF!+#REF!</f>
        <v>#REF!</v>
      </c>
      <c r="F40" s="65" t="e">
        <f t="shared" si="1"/>
        <v>#REF!</v>
      </c>
      <c r="G40" s="65" t="e">
        <f>'Додаток2 скор'!G39+#REF!+#REF!</f>
        <v>#REF!</v>
      </c>
      <c r="H40" s="65" t="e">
        <f>'Додаток2 скор'!H39+#REF!+#REF!</f>
        <v>#REF!</v>
      </c>
      <c r="I40" s="65" t="e">
        <f>'Додаток2 скор'!I39+#REF!+#REF!</f>
        <v>#REF!</v>
      </c>
      <c r="J40" s="66" t="e">
        <f t="shared" si="2"/>
        <v>#REF!</v>
      </c>
      <c r="K40" s="65" t="e">
        <f>'Додаток2 скор'!K39+#REF!+#REF!</f>
        <v>#REF!</v>
      </c>
      <c r="L40" s="65" t="e">
        <f>'Додаток2 скор'!L39+#REF!+#REF!</f>
        <v>#REF!</v>
      </c>
      <c r="M40" s="65" t="e">
        <f>'Додаток2 скор'!M39+#REF!+#REF!</f>
        <v>#REF!</v>
      </c>
      <c r="N40" s="65" t="e">
        <f>'Додаток2 скор'!N39+#REF!+#REF!</f>
        <v>#REF!</v>
      </c>
      <c r="O40" s="66" t="e">
        <f t="shared" si="6"/>
        <v>#REF!</v>
      </c>
      <c r="P40" s="65" t="e">
        <f>'Додаток2 скор'!P39+#REF!+#REF!</f>
        <v>#REF!</v>
      </c>
      <c r="Q40" s="65" t="e">
        <f>'Додаток2 скор'!Q39+#REF!+#REF!</f>
        <v>#REF!</v>
      </c>
      <c r="R40" s="65" t="e">
        <f>'Додаток2 скор'!R39+#REF!+#REF!</f>
        <v>#REF!</v>
      </c>
      <c r="S40" s="65" t="e">
        <f>'Додаток2 скор'!S39+#REF!+#REF!</f>
        <v>#REF!</v>
      </c>
      <c r="T40" s="66" t="e">
        <f t="shared" si="5"/>
        <v>#REF!</v>
      </c>
      <c r="U40" s="65" t="e">
        <f>'Додаток2 скор'!U39+#REF!+#REF!</f>
        <v>#REF!</v>
      </c>
      <c r="V40" s="65" t="e">
        <f>'Додаток2 скор'!V39+#REF!+#REF!</f>
        <v>#REF!</v>
      </c>
      <c r="W40" s="86">
        <v>0</v>
      </c>
      <c r="X40" s="68">
        <v>0</v>
      </c>
      <c r="Y40" s="69">
        <v>0</v>
      </c>
      <c r="Z40" s="68">
        <v>0</v>
      </c>
      <c r="AA40" s="69">
        <v>0</v>
      </c>
      <c r="AB40" s="68">
        <v>0</v>
      </c>
      <c r="AC40" s="69">
        <v>0</v>
      </c>
      <c r="AD40" s="68">
        <v>0</v>
      </c>
      <c r="AE40" s="35"/>
    </row>
    <row r="41" spans="1:31" s="36" customFormat="1" ht="16.5" customHeight="1">
      <c r="A41" s="19">
        <v>5</v>
      </c>
      <c r="B41" s="63" t="s">
        <v>49</v>
      </c>
      <c r="C41" s="64" t="s">
        <v>79</v>
      </c>
      <c r="D41" s="65" t="e">
        <f t="shared" si="0"/>
        <v>#REF!</v>
      </c>
      <c r="E41" s="65" t="e">
        <f>'Додаток2 скор'!E40+#REF!+#REF!</f>
        <v>#REF!</v>
      </c>
      <c r="F41" s="65" t="e">
        <f t="shared" si="1"/>
        <v>#REF!</v>
      </c>
      <c r="G41" s="65" t="e">
        <f>'Додаток2 скор'!G40+#REF!+#REF!</f>
        <v>#REF!</v>
      </c>
      <c r="H41" s="65" t="e">
        <f>'Додаток2 скор'!H40+#REF!+#REF!</f>
        <v>#REF!</v>
      </c>
      <c r="I41" s="65" t="e">
        <f>'Додаток2 скор'!I40+#REF!+#REF!</f>
        <v>#REF!</v>
      </c>
      <c r="J41" s="66" t="e">
        <f t="shared" si="2"/>
        <v>#REF!</v>
      </c>
      <c r="K41" s="65" t="e">
        <f>'Додаток2 скор'!K40+#REF!+#REF!</f>
        <v>#REF!</v>
      </c>
      <c r="L41" s="65" t="e">
        <f>'Додаток2 скор'!L40+#REF!+#REF!</f>
        <v>#REF!</v>
      </c>
      <c r="M41" s="65" t="e">
        <f>'Додаток2 скор'!M40+#REF!+#REF!</f>
        <v>#REF!</v>
      </c>
      <c r="N41" s="65" t="e">
        <f>'Додаток2 скор'!N40+#REF!+#REF!</f>
        <v>#REF!</v>
      </c>
      <c r="O41" s="66" t="e">
        <f t="shared" si="6"/>
        <v>#REF!</v>
      </c>
      <c r="P41" s="65" t="e">
        <f>'Додаток2 скор'!P40+#REF!+#REF!</f>
        <v>#REF!</v>
      </c>
      <c r="Q41" s="65" t="e">
        <f>'Додаток2 скор'!Q40+#REF!+#REF!</f>
        <v>#REF!</v>
      </c>
      <c r="R41" s="65" t="e">
        <f>'Додаток2 скор'!R40+#REF!+#REF!</f>
        <v>#REF!</v>
      </c>
      <c r="S41" s="65" t="e">
        <f>'Додаток2 скор'!S40+#REF!+#REF!</f>
        <v>#REF!</v>
      </c>
      <c r="T41" s="66" t="e">
        <f t="shared" si="5"/>
        <v>#REF!</v>
      </c>
      <c r="U41" s="65" t="e">
        <f>'Додаток2 скор'!U40+#REF!+#REF!</f>
        <v>#REF!</v>
      </c>
      <c r="V41" s="65" t="e">
        <f>'Додаток2 скор'!V40+#REF!+#REF!</f>
        <v>#REF!</v>
      </c>
      <c r="W41" s="86">
        <v>0</v>
      </c>
      <c r="X41" s="68">
        <v>0</v>
      </c>
      <c r="Y41" s="69">
        <v>0</v>
      </c>
      <c r="Z41" s="68">
        <v>0</v>
      </c>
      <c r="AA41" s="69">
        <v>0</v>
      </c>
      <c r="AB41" s="68">
        <v>0</v>
      </c>
      <c r="AC41" s="69">
        <v>0</v>
      </c>
      <c r="AD41" s="68">
        <v>0</v>
      </c>
      <c r="AE41" s="35"/>
    </row>
    <row r="42" spans="1:31" s="36" customFormat="1" ht="16.5" customHeight="1">
      <c r="A42" s="19">
        <v>6</v>
      </c>
      <c r="B42" s="63" t="s">
        <v>50</v>
      </c>
      <c r="C42" s="64" t="s">
        <v>79</v>
      </c>
      <c r="D42" s="65" t="e">
        <f t="shared" si="0"/>
        <v>#REF!</v>
      </c>
      <c r="E42" s="65" t="e">
        <f>'Додаток2 скор'!E41+#REF!+#REF!</f>
        <v>#REF!</v>
      </c>
      <c r="F42" s="65" t="e">
        <f t="shared" si="1"/>
        <v>#REF!</v>
      </c>
      <c r="G42" s="65" t="e">
        <f>'Додаток2 скор'!G41+#REF!+#REF!</f>
        <v>#REF!</v>
      </c>
      <c r="H42" s="65" t="e">
        <f>H32+H8</f>
        <v>#REF!</v>
      </c>
      <c r="I42" s="65" t="e">
        <f>'Додаток2 скор'!I41+#REF!+#REF!</f>
        <v>#REF!</v>
      </c>
      <c r="J42" s="66" t="e">
        <f t="shared" si="2"/>
        <v>#REF!</v>
      </c>
      <c r="K42" s="65" t="e">
        <f>'Додаток2 скор'!K41+#REF!+#REF!</f>
        <v>#REF!</v>
      </c>
      <c r="L42" s="65" t="e">
        <f>'Додаток2 скор'!L41+#REF!+#REF!</f>
        <v>#REF!</v>
      </c>
      <c r="M42" s="65" t="e">
        <f>M32+M8</f>
        <v>#REF!</v>
      </c>
      <c r="N42" s="65" t="e">
        <f>'Додаток2 скор'!N41+#REF!+#REF!</f>
        <v>#REF!</v>
      </c>
      <c r="O42" s="66" t="e">
        <f>P42/M42</f>
        <v>#REF!</v>
      </c>
      <c r="P42" s="65" t="e">
        <f>P32+P8</f>
        <v>#REF!</v>
      </c>
      <c r="Q42" s="65" t="e">
        <f>'Додаток2 скор'!Q41+#REF!+#REF!</f>
        <v>#REF!</v>
      </c>
      <c r="R42" s="65" t="e">
        <f>R32+R8</f>
        <v>#REF!</v>
      </c>
      <c r="S42" s="65" t="e">
        <f>'Додаток2 скор'!S41+#REF!+#REF!</f>
        <v>#REF!</v>
      </c>
      <c r="T42" s="66" t="e">
        <f>U42/R42</f>
        <v>#REF!</v>
      </c>
      <c r="U42" s="65" t="e">
        <f>U32+U8</f>
        <v>#REF!</v>
      </c>
      <c r="V42" s="65" t="e">
        <f>'Додаток2 скор'!V41+#REF!+#REF!</f>
        <v>#REF!</v>
      </c>
      <c r="W42" s="86">
        <v>19399.56</v>
      </c>
      <c r="X42" s="68">
        <v>316.46</v>
      </c>
      <c r="Y42" s="69">
        <v>13189.5</v>
      </c>
      <c r="Z42" s="68">
        <v>252.78</v>
      </c>
      <c r="AA42" s="69">
        <v>4924.47</v>
      </c>
      <c r="AB42" s="68">
        <v>680.64</v>
      </c>
      <c r="AC42" s="69">
        <v>1285.59</v>
      </c>
      <c r="AD42" s="68">
        <v>680.64</v>
      </c>
      <c r="AE42" s="35"/>
    </row>
    <row r="43" spans="1:31" s="36" customFormat="1" ht="18.75" customHeight="1">
      <c r="A43" s="19">
        <v>7</v>
      </c>
      <c r="B43" s="48" t="s">
        <v>52</v>
      </c>
      <c r="C43" s="64" t="s">
        <v>79</v>
      </c>
      <c r="D43" s="65" t="e">
        <f t="shared" si="0"/>
        <v>#REF!</v>
      </c>
      <c r="E43" s="65" t="e">
        <f>'Додаток2 скор'!E42+#REF!+#REF!</f>
        <v>#REF!</v>
      </c>
      <c r="F43" s="65" t="e">
        <f t="shared" si="1"/>
        <v>#REF!</v>
      </c>
      <c r="G43" s="65" t="e">
        <f>'Додаток2 скор'!G42+#REF!+#REF!</f>
        <v>#REF!</v>
      </c>
      <c r="H43" s="65" t="e">
        <f>SUM(H44:H48)</f>
        <v>#REF!</v>
      </c>
      <c r="I43" s="65" t="e">
        <f>SUM(I44:I48)</f>
        <v>#REF!</v>
      </c>
      <c r="J43" s="66" t="e">
        <f t="shared" si="2"/>
        <v>#REF!</v>
      </c>
      <c r="K43" s="65" t="e">
        <f>SUM(K44:K48)</f>
        <v>#REF!</v>
      </c>
      <c r="L43" s="65" t="e">
        <f>SUM(L44:L48)</f>
        <v>#REF!</v>
      </c>
      <c r="M43" s="65" t="e">
        <f>SUM(M44:M48)</f>
        <v>#REF!</v>
      </c>
      <c r="N43" s="65" t="e">
        <f>SUM(N44:N48)</f>
        <v>#REF!</v>
      </c>
      <c r="O43" s="66" t="e">
        <f>IF(M43=0,0,P43/M43)</f>
        <v>#REF!</v>
      </c>
      <c r="P43" s="65" t="e">
        <f>SUM(P44:P48)</f>
        <v>#REF!</v>
      </c>
      <c r="Q43" s="65" t="e">
        <f>SUM(Q44:Q48)</f>
        <v>#REF!</v>
      </c>
      <c r="R43" s="65" t="e">
        <f>SUM(R44:R48)</f>
        <v>#REF!</v>
      </c>
      <c r="S43" s="65" t="e">
        <f>SUM(S44:S48)</f>
        <v>#REF!</v>
      </c>
      <c r="T43" s="66" t="e">
        <f>IF(R43=0,0,U43/R43)</f>
        <v>#REF!</v>
      </c>
      <c r="U43" s="65" t="e">
        <f>SUM(U44:U48)</f>
        <v>#REF!</v>
      </c>
      <c r="V43" s="65" t="e">
        <f>SUM(V44:V48)</f>
        <v>#REF!</v>
      </c>
      <c r="W43" s="86">
        <v>0</v>
      </c>
      <c r="X43" s="68">
        <v>0</v>
      </c>
      <c r="Y43" s="69">
        <v>0</v>
      </c>
      <c r="Z43" s="68">
        <v>0</v>
      </c>
      <c r="AA43" s="69">
        <v>0</v>
      </c>
      <c r="AB43" s="68">
        <v>0</v>
      </c>
      <c r="AC43" s="69">
        <v>0</v>
      </c>
      <c r="AD43" s="68">
        <v>0</v>
      </c>
      <c r="AE43" s="35"/>
    </row>
    <row r="44" spans="1:110" ht="16.5" customHeight="1">
      <c r="A44" s="37" t="s">
        <v>53</v>
      </c>
      <c r="B44" s="44" t="s">
        <v>54</v>
      </c>
      <c r="C44" s="70" t="s">
        <v>79</v>
      </c>
      <c r="D44" s="71" t="e">
        <f t="shared" si="0"/>
        <v>#REF!</v>
      </c>
      <c r="E44" s="71" t="e">
        <f>'Додаток2 скор'!E43+#REF!+#REF!</f>
        <v>#REF!</v>
      </c>
      <c r="F44" s="71" t="e">
        <f t="shared" si="1"/>
        <v>#REF!</v>
      </c>
      <c r="G44" s="71" t="e">
        <f>'Додаток2 скор'!G43+#REF!+#REF!</f>
        <v>#REF!</v>
      </c>
      <c r="H44" s="71" t="e">
        <f>'Додаток2 скор'!H43+#REF!+#REF!</f>
        <v>#REF!</v>
      </c>
      <c r="I44" s="71" t="e">
        <f>'Додаток2 скор'!I43+#REF!+#REF!</f>
        <v>#REF!</v>
      </c>
      <c r="J44" s="72" t="e">
        <f t="shared" si="2"/>
        <v>#REF!</v>
      </c>
      <c r="K44" s="71" t="e">
        <f>'Додаток2 скор'!K43+#REF!+#REF!</f>
        <v>#REF!</v>
      </c>
      <c r="L44" s="71" t="e">
        <f>'Додаток2 скор'!L43+#REF!+#REF!</f>
        <v>#REF!</v>
      </c>
      <c r="M44" s="71" t="e">
        <f>'Додаток2 скор'!M43+#REF!+#REF!</f>
        <v>#REF!</v>
      </c>
      <c r="N44" s="71" t="e">
        <f>'Додаток2 скор'!N43+#REF!+#REF!</f>
        <v>#REF!</v>
      </c>
      <c r="O44" s="72" t="e">
        <f t="shared" si="6"/>
        <v>#REF!</v>
      </c>
      <c r="P44" s="71" t="e">
        <f>'Додаток2 скор'!P43+#REF!+#REF!</f>
        <v>#REF!</v>
      </c>
      <c r="Q44" s="71" t="e">
        <f>'Додаток2 скор'!Q43+#REF!+#REF!</f>
        <v>#REF!</v>
      </c>
      <c r="R44" s="71" t="e">
        <f>'Додаток2 скор'!R43+#REF!+#REF!</f>
        <v>#REF!</v>
      </c>
      <c r="S44" s="71" t="e">
        <f>'Додаток2 скор'!S43+#REF!+#REF!</f>
        <v>#REF!</v>
      </c>
      <c r="T44" s="72" t="e">
        <f t="shared" si="5"/>
        <v>#REF!</v>
      </c>
      <c r="U44" s="71" t="e">
        <f>'Додаток2 скор'!U43+#REF!+#REF!</f>
        <v>#REF!</v>
      </c>
      <c r="V44" s="71" t="e">
        <f>'Додаток2 скор'!V43+#REF!+#REF!</f>
        <v>#REF!</v>
      </c>
      <c r="W44" s="77">
        <v>0</v>
      </c>
      <c r="X44" s="74">
        <v>0</v>
      </c>
      <c r="Y44" s="75">
        <v>0</v>
      </c>
      <c r="Z44" s="74">
        <v>0</v>
      </c>
      <c r="AA44" s="75">
        <v>0</v>
      </c>
      <c r="AB44" s="76">
        <v>0</v>
      </c>
      <c r="AC44" s="75">
        <v>0</v>
      </c>
      <c r="AD44" s="76">
        <v>0</v>
      </c>
      <c r="AE44" s="35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</row>
    <row r="45" spans="1:110" ht="16.5" customHeight="1" hidden="1">
      <c r="A45" s="37" t="s">
        <v>55</v>
      </c>
      <c r="B45" s="44" t="s">
        <v>56</v>
      </c>
      <c r="C45" s="70" t="s">
        <v>79</v>
      </c>
      <c r="D45" s="71" t="e">
        <f t="shared" si="0"/>
        <v>#REF!</v>
      </c>
      <c r="E45" s="71" t="e">
        <f>'Додаток2 скор'!E44+#REF!+#REF!</f>
        <v>#REF!</v>
      </c>
      <c r="F45" s="71" t="e">
        <f t="shared" si="1"/>
        <v>#REF!</v>
      </c>
      <c r="G45" s="71" t="e">
        <f>'Додаток2 скор'!G44+#REF!+#REF!</f>
        <v>#REF!</v>
      </c>
      <c r="H45" s="71" t="e">
        <f>'Додаток2 скор'!H44+#REF!+#REF!</f>
        <v>#REF!</v>
      </c>
      <c r="I45" s="71" t="e">
        <f>'Додаток2 скор'!I44+#REF!+#REF!</f>
        <v>#REF!</v>
      </c>
      <c r="J45" s="72" t="e">
        <f t="shared" si="2"/>
        <v>#REF!</v>
      </c>
      <c r="K45" s="71" t="e">
        <f>'Додаток2 скор'!K44+#REF!+#REF!</f>
        <v>#REF!</v>
      </c>
      <c r="L45" s="71" t="e">
        <f>'Додаток2 скор'!L44+#REF!+#REF!</f>
        <v>#REF!</v>
      </c>
      <c r="M45" s="71" t="e">
        <f>'Додаток2 скор'!M44+#REF!+#REF!</f>
        <v>#REF!</v>
      </c>
      <c r="N45" s="71" t="e">
        <f>'Додаток2 скор'!N44+#REF!+#REF!</f>
        <v>#REF!</v>
      </c>
      <c r="O45" s="72" t="e">
        <f t="shared" si="6"/>
        <v>#REF!</v>
      </c>
      <c r="P45" s="71" t="e">
        <f>'Додаток2 скор'!P44+#REF!+#REF!</f>
        <v>#REF!</v>
      </c>
      <c r="Q45" s="71" t="e">
        <f>'Додаток2 скор'!Q44+#REF!+#REF!</f>
        <v>#REF!</v>
      </c>
      <c r="R45" s="71" t="e">
        <f>'Додаток2 скор'!R44+#REF!+#REF!</f>
        <v>#REF!</v>
      </c>
      <c r="S45" s="71" t="e">
        <f>'Додаток2 скор'!S44+#REF!+#REF!</f>
        <v>#REF!</v>
      </c>
      <c r="T45" s="72" t="e">
        <f t="shared" si="5"/>
        <v>#REF!</v>
      </c>
      <c r="U45" s="71" t="e">
        <f>'Додаток2 скор'!U44+#REF!+#REF!</f>
        <v>#REF!</v>
      </c>
      <c r="V45" s="71" t="e">
        <f>'Додаток2 скор'!V44+#REF!+#REF!</f>
        <v>#REF!</v>
      </c>
      <c r="W45" s="77">
        <v>0</v>
      </c>
      <c r="X45" s="74">
        <v>0</v>
      </c>
      <c r="Y45" s="75">
        <v>0</v>
      </c>
      <c r="Z45" s="74">
        <v>0</v>
      </c>
      <c r="AA45" s="75">
        <v>0</v>
      </c>
      <c r="AB45" s="76">
        <v>0</v>
      </c>
      <c r="AC45" s="75">
        <v>0</v>
      </c>
      <c r="AD45" s="76">
        <v>0</v>
      </c>
      <c r="AE45" s="35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</row>
    <row r="46" spans="1:110" ht="16.5" customHeight="1">
      <c r="A46" s="37" t="s">
        <v>55</v>
      </c>
      <c r="B46" s="44" t="str">
        <f>'Додаток2 скор'!B45</f>
        <v>резервний фонд (капітал) та дивіденди </v>
      </c>
      <c r="C46" s="70" t="s">
        <v>79</v>
      </c>
      <c r="D46" s="71" t="e">
        <f t="shared" si="0"/>
        <v>#REF!</v>
      </c>
      <c r="E46" s="71" t="e">
        <f>'Додаток2 скор'!E45+#REF!+#REF!</f>
        <v>#REF!</v>
      </c>
      <c r="F46" s="71" t="e">
        <f t="shared" si="1"/>
        <v>#REF!</v>
      </c>
      <c r="G46" s="71" t="e">
        <f>'Додаток2 скор'!G45+#REF!+#REF!</f>
        <v>#REF!</v>
      </c>
      <c r="H46" s="71" t="e">
        <f>'Додаток2 скор'!H45+#REF!+#REF!</f>
        <v>#REF!</v>
      </c>
      <c r="I46" s="71" t="e">
        <f>'Додаток2 скор'!I45+#REF!+#REF!</f>
        <v>#REF!</v>
      </c>
      <c r="J46" s="72" t="e">
        <f t="shared" si="2"/>
        <v>#REF!</v>
      </c>
      <c r="K46" s="71" t="e">
        <f>'Додаток2 скор'!K45+#REF!+#REF!</f>
        <v>#REF!</v>
      </c>
      <c r="L46" s="71" t="e">
        <f>'Додаток2 скор'!L45+#REF!+#REF!</f>
        <v>#REF!</v>
      </c>
      <c r="M46" s="71" t="e">
        <f>'Додаток2 скор'!M45+#REF!+#REF!</f>
        <v>#REF!</v>
      </c>
      <c r="N46" s="71" t="e">
        <f>'Додаток2 скор'!N45+#REF!+#REF!</f>
        <v>#REF!</v>
      </c>
      <c r="O46" s="72" t="e">
        <f t="shared" si="6"/>
        <v>#REF!</v>
      </c>
      <c r="P46" s="71" t="e">
        <f>'Додаток2 скор'!P45+#REF!+#REF!</f>
        <v>#REF!</v>
      </c>
      <c r="Q46" s="71" t="e">
        <f>'Додаток2 скор'!Q45+#REF!+#REF!</f>
        <v>#REF!</v>
      </c>
      <c r="R46" s="71" t="e">
        <f>'Додаток2 скор'!R45+#REF!+#REF!</f>
        <v>#REF!</v>
      </c>
      <c r="S46" s="71" t="e">
        <f>'Додаток2 скор'!S45+#REF!+#REF!</f>
        <v>#REF!</v>
      </c>
      <c r="T46" s="72" t="e">
        <f t="shared" si="5"/>
        <v>#REF!</v>
      </c>
      <c r="U46" s="71" t="e">
        <f>'Додаток2 скор'!U45+#REF!+#REF!</f>
        <v>#REF!</v>
      </c>
      <c r="V46" s="71" t="e">
        <f>'Додаток2 скор'!V45+#REF!+#REF!</f>
        <v>#REF!</v>
      </c>
      <c r="W46" s="77">
        <v>0</v>
      </c>
      <c r="X46" s="74">
        <v>0</v>
      </c>
      <c r="Y46" s="75">
        <v>0</v>
      </c>
      <c r="Z46" s="74">
        <v>0</v>
      </c>
      <c r="AA46" s="75">
        <v>0</v>
      </c>
      <c r="AB46" s="76">
        <v>0</v>
      </c>
      <c r="AC46" s="75">
        <v>0</v>
      </c>
      <c r="AD46" s="76">
        <v>0</v>
      </c>
      <c r="AE46" s="35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</row>
    <row r="47" spans="1:110" ht="17.25" customHeight="1">
      <c r="A47" s="37" t="s">
        <v>57</v>
      </c>
      <c r="B47" s="44" t="s">
        <v>58</v>
      </c>
      <c r="C47" s="70" t="s">
        <v>79</v>
      </c>
      <c r="D47" s="71" t="e">
        <f t="shared" si="0"/>
        <v>#REF!</v>
      </c>
      <c r="E47" s="71" t="e">
        <f>'Додаток2 скор'!E46+#REF!+#REF!</f>
        <v>#REF!</v>
      </c>
      <c r="F47" s="71" t="e">
        <f t="shared" si="1"/>
        <v>#REF!</v>
      </c>
      <c r="G47" s="71" t="e">
        <f>'Додаток2 скор'!G46+#REF!+#REF!</f>
        <v>#REF!</v>
      </c>
      <c r="H47" s="71" t="e">
        <f>'Додаток2 скор'!H46+#REF!+#REF!</f>
        <v>#REF!</v>
      </c>
      <c r="I47" s="71" t="e">
        <f>'Додаток2 скор'!I46+#REF!+#REF!</f>
        <v>#REF!</v>
      </c>
      <c r="J47" s="72" t="e">
        <f t="shared" si="2"/>
        <v>#REF!</v>
      </c>
      <c r="K47" s="71" t="e">
        <f>'Додаток2 скор'!K46+#REF!+#REF!</f>
        <v>#REF!</v>
      </c>
      <c r="L47" s="71" t="e">
        <f>'Додаток2 скор'!L46+#REF!+#REF!</f>
        <v>#REF!</v>
      </c>
      <c r="M47" s="71">
        <v>0</v>
      </c>
      <c r="N47" s="71">
        <v>0</v>
      </c>
      <c r="O47" s="72">
        <f t="shared" si="6"/>
        <v>0</v>
      </c>
      <c r="P47" s="71" t="e">
        <f>'Додаток2 скор'!P46+#REF!+#REF!</f>
        <v>#REF!</v>
      </c>
      <c r="Q47" s="71" t="e">
        <f>'Додаток2 скор'!Q46+#REF!+#REF!</f>
        <v>#REF!</v>
      </c>
      <c r="R47" s="71">
        <v>0</v>
      </c>
      <c r="S47" s="71">
        <v>0</v>
      </c>
      <c r="T47" s="72">
        <f t="shared" si="5"/>
        <v>0</v>
      </c>
      <c r="U47" s="71" t="e">
        <f>'Додаток2 скор'!U46+#REF!+#REF!</f>
        <v>#REF!</v>
      </c>
      <c r="V47" s="71" t="e">
        <f>'Додаток2 скор'!V46+#REF!+#REF!</f>
        <v>#REF!</v>
      </c>
      <c r="W47" s="77">
        <v>0</v>
      </c>
      <c r="X47" s="74">
        <v>0</v>
      </c>
      <c r="Y47" s="75">
        <v>0</v>
      </c>
      <c r="Z47" s="74">
        <v>0</v>
      </c>
      <c r="AA47" s="75">
        <v>0</v>
      </c>
      <c r="AB47" s="76">
        <v>0</v>
      </c>
      <c r="AC47" s="75">
        <v>0</v>
      </c>
      <c r="AD47" s="76">
        <v>0</v>
      </c>
      <c r="AE47" s="35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</row>
    <row r="48" spans="1:110" ht="16.5" customHeight="1">
      <c r="A48" s="37" t="s">
        <v>59</v>
      </c>
      <c r="B48" s="44" t="s">
        <v>98</v>
      </c>
      <c r="C48" s="70" t="s">
        <v>79</v>
      </c>
      <c r="D48" s="65" t="e">
        <f t="shared" si="0"/>
        <v>#REF!</v>
      </c>
      <c r="E48" s="71" t="e">
        <f>'Додаток2 скор'!E47+#REF!+#REF!</f>
        <v>#REF!</v>
      </c>
      <c r="F48" s="65" t="e">
        <f t="shared" si="1"/>
        <v>#REF!</v>
      </c>
      <c r="G48" s="71" t="e">
        <f>'Додаток2 скор'!G47+#REF!+#REF!</f>
        <v>#REF!</v>
      </c>
      <c r="H48" s="71" t="e">
        <f>'Додаток2 скор'!H47+#REF!+#REF!</f>
        <v>#REF!</v>
      </c>
      <c r="I48" s="71" t="e">
        <f>'Додаток2 скор'!I47+#REF!+#REF!</f>
        <v>#REF!</v>
      </c>
      <c r="J48" s="72" t="e">
        <f t="shared" si="2"/>
        <v>#REF!</v>
      </c>
      <c r="K48" s="71" t="e">
        <f>'Додаток2 скор'!K47+#REF!+#REF!</f>
        <v>#REF!</v>
      </c>
      <c r="L48" s="71" t="e">
        <f>'Додаток2 скор'!L47+#REF!+#REF!</f>
        <v>#REF!</v>
      </c>
      <c r="M48" s="71" t="e">
        <f>'Додаток2 скор'!M47+#REF!+#REF!</f>
        <v>#REF!</v>
      </c>
      <c r="N48" s="71" t="e">
        <f>'Додаток2 скор'!N47+#REF!+#REF!</f>
        <v>#REF!</v>
      </c>
      <c r="O48" s="72" t="e">
        <f>IF(M48=0,0,P48/M48)</f>
        <v>#REF!</v>
      </c>
      <c r="P48" s="71" t="e">
        <f>'Додаток2 скор'!P47+#REF!+#REF!</f>
        <v>#REF!</v>
      </c>
      <c r="Q48" s="71" t="e">
        <f>'Додаток2 скор'!Q47+#REF!+#REF!</f>
        <v>#REF!</v>
      </c>
      <c r="R48" s="71" t="e">
        <f>'Додаток2 скор'!R47+#REF!+#REF!</f>
        <v>#REF!</v>
      </c>
      <c r="S48" s="71" t="e">
        <f>'Додаток2 скор'!S47+#REF!+#REF!</f>
        <v>#REF!</v>
      </c>
      <c r="T48" s="72" t="e">
        <f>IF(R48=0,0,U48/R48)</f>
        <v>#REF!</v>
      </c>
      <c r="U48" s="71" t="e">
        <f>'Додаток2 скор'!U47+#REF!+#REF!</f>
        <v>#REF!</v>
      </c>
      <c r="V48" s="71" t="e">
        <f>'Додаток2 скор'!V47+#REF!+#REF!</f>
        <v>#REF!</v>
      </c>
      <c r="W48" s="77">
        <v>0</v>
      </c>
      <c r="X48" s="74">
        <v>0</v>
      </c>
      <c r="Y48" s="75">
        <v>0</v>
      </c>
      <c r="Z48" s="74">
        <v>0</v>
      </c>
      <c r="AA48" s="75">
        <v>0</v>
      </c>
      <c r="AB48" s="76">
        <v>0</v>
      </c>
      <c r="AC48" s="75">
        <v>0</v>
      </c>
      <c r="AD48" s="76">
        <v>0</v>
      </c>
      <c r="AE48" s="35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</row>
    <row r="49" spans="1:31" s="36" customFormat="1" ht="33" customHeight="1">
      <c r="A49" s="19">
        <v>8</v>
      </c>
      <c r="B49" s="63" t="s">
        <v>99</v>
      </c>
      <c r="C49" s="64" t="s">
        <v>79</v>
      </c>
      <c r="D49" s="65" t="e">
        <f t="shared" si="0"/>
        <v>#REF!</v>
      </c>
      <c r="E49" s="65" t="e">
        <f>'Додаток2 скор'!E48+#REF!+#REF!</f>
        <v>#REF!</v>
      </c>
      <c r="F49" s="65" t="e">
        <f t="shared" si="1"/>
        <v>#REF!</v>
      </c>
      <c r="G49" s="65" t="e">
        <f>'Додаток2 скор'!G48+#REF!+#REF!</f>
        <v>#REF!</v>
      </c>
      <c r="H49" s="65" t="e">
        <f>H42+H43</f>
        <v>#REF!</v>
      </c>
      <c r="I49" s="65" t="e">
        <f>'Додаток2 скор'!I48+#REF!+#REF!</f>
        <v>#REF!</v>
      </c>
      <c r="J49" s="66" t="e">
        <f>IF(H49=0,0,K49/H49)</f>
        <v>#REF!</v>
      </c>
      <c r="K49" s="65" t="e">
        <f>K42+K43</f>
        <v>#REF!</v>
      </c>
      <c r="L49" s="65" t="e">
        <f>L42+L43</f>
        <v>#REF!</v>
      </c>
      <c r="M49" s="65" t="e">
        <f>M42+M43</f>
        <v>#REF!</v>
      </c>
      <c r="N49" s="65" t="e">
        <f>N42+N43</f>
        <v>#REF!</v>
      </c>
      <c r="O49" s="66" t="e">
        <f>P49/M49</f>
        <v>#REF!</v>
      </c>
      <c r="P49" s="65" t="e">
        <f>P42+P43</f>
        <v>#REF!</v>
      </c>
      <c r="Q49" s="65" t="e">
        <f>Q42+Q43</f>
        <v>#REF!</v>
      </c>
      <c r="R49" s="65" t="e">
        <f>R42+R43</f>
        <v>#REF!</v>
      </c>
      <c r="S49" s="65" t="e">
        <f>S42+S43</f>
        <v>#REF!</v>
      </c>
      <c r="T49" s="66" t="e">
        <f>U49/R49</f>
        <v>#REF!</v>
      </c>
      <c r="U49" s="65" t="e">
        <f>U42+U43</f>
        <v>#REF!</v>
      </c>
      <c r="V49" s="65" t="e">
        <f>V42+V43</f>
        <v>#REF!</v>
      </c>
      <c r="W49" s="86">
        <v>19399.56</v>
      </c>
      <c r="X49" s="68">
        <v>316.46</v>
      </c>
      <c r="Y49" s="69">
        <v>13189.5</v>
      </c>
      <c r="Z49" s="68">
        <v>252.78</v>
      </c>
      <c r="AA49" s="69">
        <v>4924.47</v>
      </c>
      <c r="AB49" s="68">
        <v>680.64</v>
      </c>
      <c r="AC49" s="69">
        <v>1285.59</v>
      </c>
      <c r="AD49" s="68">
        <v>680.64</v>
      </c>
      <c r="AE49" s="35" t="e">
        <f>((V49*U51)+(Q49*P51)+(I49*H51))/F51</f>
        <v>#REF!</v>
      </c>
    </row>
    <row r="50" spans="1:31" s="36" customFormat="1" ht="22.5" customHeight="1">
      <c r="A50" s="19">
        <v>9</v>
      </c>
      <c r="B50" s="63" t="s">
        <v>100</v>
      </c>
      <c r="C50" s="46"/>
      <c r="D50" s="65"/>
      <c r="E50" s="65" t="e">
        <f>E49</f>
        <v>#REF!</v>
      </c>
      <c r="F50" s="65"/>
      <c r="G50" s="65" t="e">
        <f>G49</f>
        <v>#REF!</v>
      </c>
      <c r="H50" s="65"/>
      <c r="I50" s="65" t="e">
        <f>I49</f>
        <v>#REF!</v>
      </c>
      <c r="J50" s="66" t="e">
        <f>L50/I50</f>
        <v>#REF!</v>
      </c>
      <c r="K50" s="65"/>
      <c r="L50" s="65" t="e">
        <f>L49</f>
        <v>#REF!</v>
      </c>
      <c r="M50" s="65"/>
      <c r="N50" s="65" t="e">
        <f>N49</f>
        <v>#REF!</v>
      </c>
      <c r="O50" s="66" t="e">
        <f>Q50/N50</f>
        <v>#REF!</v>
      </c>
      <c r="P50" s="65"/>
      <c r="Q50" s="65" t="e">
        <f>Q49</f>
        <v>#REF!</v>
      </c>
      <c r="R50" s="65"/>
      <c r="S50" s="65" t="e">
        <f>S49</f>
        <v>#REF!</v>
      </c>
      <c r="T50" s="66" t="e">
        <f>V50/S50</f>
        <v>#REF!</v>
      </c>
      <c r="U50" s="65"/>
      <c r="V50" s="65" t="e">
        <f>V49</f>
        <v>#REF!</v>
      </c>
      <c r="W50" s="87">
        <v>316.46</v>
      </c>
      <c r="X50" s="68">
        <v>316.46</v>
      </c>
      <c r="Y50" s="68">
        <v>252.78</v>
      </c>
      <c r="Z50" s="68">
        <v>252.78</v>
      </c>
      <c r="AA50" s="68">
        <v>680.64</v>
      </c>
      <c r="AB50" s="68">
        <v>680.64</v>
      </c>
      <c r="AC50" s="68">
        <v>680.64</v>
      </c>
      <c r="AD50" s="68">
        <v>680.64</v>
      </c>
      <c r="AE50" s="35" t="e">
        <f>((S49*R51)+(N49*M51)+(I49*H51))/D51</f>
        <v>#REF!</v>
      </c>
    </row>
    <row r="51" spans="1:22" s="36" customFormat="1" ht="30" customHeight="1">
      <c r="A51" s="19">
        <v>10</v>
      </c>
      <c r="B51" s="63" t="s">
        <v>61</v>
      </c>
      <c r="C51" s="64" t="s">
        <v>101</v>
      </c>
      <c r="D51" s="65">
        <f>H51+M51+R51</f>
        <v>211940.33</v>
      </c>
      <c r="E51" s="65"/>
      <c r="F51" s="65">
        <f>K51+P51+U51</f>
        <v>211940.33</v>
      </c>
      <c r="G51" s="65"/>
      <c r="H51" s="65">
        <f>'Додаток2 скор'!H50</f>
        <v>150928.68</v>
      </c>
      <c r="I51" s="65"/>
      <c r="J51" s="66">
        <f>K51/H51</f>
        <v>1</v>
      </c>
      <c r="K51" s="65">
        <f>'Додаток2 скор'!K50</f>
        <v>150928.68</v>
      </c>
      <c r="L51" s="65"/>
      <c r="M51" s="65">
        <f>'Додаток2 скор'!M50</f>
        <v>50456.09</v>
      </c>
      <c r="N51" s="65"/>
      <c r="O51" s="66">
        <f>P51/M51</f>
        <v>1</v>
      </c>
      <c r="P51" s="65">
        <f>'Додаток2 скор'!P50</f>
        <v>50456.09</v>
      </c>
      <c r="Q51" s="65"/>
      <c r="R51" s="65">
        <f>'Додаток2 скор'!R50</f>
        <v>10555.56</v>
      </c>
      <c r="S51" s="65"/>
      <c r="T51" s="66">
        <f>U51/R51</f>
        <v>1</v>
      </c>
      <c r="U51" s="65">
        <f>'Додаток2 скор'!U50</f>
        <v>10555.56</v>
      </c>
      <c r="V51" s="65"/>
    </row>
    <row r="52" spans="1:22" s="36" customFormat="1" ht="21.75" customHeight="1">
      <c r="A52" s="19">
        <v>11</v>
      </c>
      <c r="B52" s="63" t="s">
        <v>102</v>
      </c>
      <c r="C52" s="64"/>
      <c r="D52" s="65" t="e">
        <f>D43/D42*100</f>
        <v>#REF!</v>
      </c>
      <c r="E52" s="65" t="e">
        <f aca="true" t="shared" si="7" ref="E52:V52">E43/E42*100</f>
        <v>#REF!</v>
      </c>
      <c r="F52" s="65" t="e">
        <f t="shared" si="7"/>
        <v>#REF!</v>
      </c>
      <c r="G52" s="65" t="e">
        <f t="shared" si="7"/>
        <v>#REF!</v>
      </c>
      <c r="H52" s="65" t="e">
        <f t="shared" si="7"/>
        <v>#REF!</v>
      </c>
      <c r="I52" s="88" t="e">
        <f t="shared" si="7"/>
        <v>#REF!</v>
      </c>
      <c r="J52" s="66" t="e">
        <f>IF(H52=0,0,K52/H52)</f>
        <v>#REF!</v>
      </c>
      <c r="K52" s="65" t="e">
        <f>K43/K42*100</f>
        <v>#REF!</v>
      </c>
      <c r="L52" s="65" t="e">
        <f>L43/L42*100</f>
        <v>#REF!</v>
      </c>
      <c r="M52" s="65" t="e">
        <f t="shared" si="7"/>
        <v>#REF!</v>
      </c>
      <c r="N52" s="65" t="e">
        <f t="shared" si="7"/>
        <v>#REF!</v>
      </c>
      <c r="O52" s="66" t="e">
        <f>IF(M52=0,0,P52/M52)</f>
        <v>#REF!</v>
      </c>
      <c r="P52" s="65" t="e">
        <f t="shared" si="7"/>
        <v>#REF!</v>
      </c>
      <c r="Q52" s="65" t="e">
        <f t="shared" si="7"/>
        <v>#REF!</v>
      </c>
      <c r="R52" s="65" t="e">
        <f t="shared" si="7"/>
        <v>#REF!</v>
      </c>
      <c r="S52" s="65" t="e">
        <f t="shared" si="7"/>
        <v>#REF!</v>
      </c>
      <c r="T52" s="66" t="e">
        <f>IF(R52=0,0,U52/R52)</f>
        <v>#REF!</v>
      </c>
      <c r="U52" s="65" t="e">
        <f t="shared" si="7"/>
        <v>#REF!</v>
      </c>
      <c r="V52" s="65" t="e">
        <f t="shared" si="7"/>
        <v>#REF!</v>
      </c>
    </row>
    <row r="53" spans="1:22" s="36" customFormat="1" ht="21.75" customHeight="1">
      <c r="A53" s="19">
        <v>12</v>
      </c>
      <c r="B53" s="63" t="s">
        <v>103</v>
      </c>
      <c r="C53" s="64"/>
      <c r="D53" s="65"/>
      <c r="E53" s="65"/>
      <c r="F53" s="65"/>
      <c r="G53" s="65"/>
      <c r="H53" s="65"/>
      <c r="I53" s="89">
        <v>257.91</v>
      </c>
      <c r="J53" s="66"/>
      <c r="K53" s="65"/>
      <c r="L53" s="65">
        <f>I53</f>
        <v>257.91</v>
      </c>
      <c r="M53" s="65"/>
      <c r="N53" s="90">
        <v>835.36</v>
      </c>
      <c r="O53" s="66"/>
      <c r="P53" s="65"/>
      <c r="Q53" s="65">
        <f>N53</f>
        <v>835.36</v>
      </c>
      <c r="R53" s="65"/>
      <c r="S53" s="91">
        <v>835.36</v>
      </c>
      <c r="T53" s="66"/>
      <c r="U53" s="65">
        <f>S53</f>
        <v>835.36</v>
      </c>
      <c r="V53" s="65"/>
    </row>
    <row r="54" spans="1:22" s="92" customFormat="1" ht="20.25" customHeight="1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R54" s="265"/>
      <c r="S54" s="265"/>
      <c r="T54" s="265"/>
      <c r="U54" s="265"/>
      <c r="V54" s="265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5" ht="12.75">
      <c r="J57" s="2"/>
      <c r="K57" s="2"/>
      <c r="L57" s="2"/>
      <c r="O57" s="2">
        <f>IF(M57=0,0,1)</f>
        <v>0</v>
      </c>
    </row>
  </sheetData>
  <sheetProtection selectLockedCells="1" selectUnlockedCells="1"/>
  <mergeCells count="24">
    <mergeCell ref="W4:X4"/>
    <mergeCell ref="Y4:Z4"/>
    <mergeCell ref="AA4:AB4"/>
    <mergeCell ref="AC4:AD4"/>
    <mergeCell ref="D5:E5"/>
    <mergeCell ref="F5:G5"/>
    <mergeCell ref="H5:I5"/>
    <mergeCell ref="K5:L5"/>
    <mergeCell ref="D4:G4"/>
    <mergeCell ref="H4:L4"/>
    <mergeCell ref="A54:O54"/>
    <mergeCell ref="R54:V54"/>
    <mergeCell ref="M5:N5"/>
    <mergeCell ref="P5:Q5"/>
    <mergeCell ref="R5:S5"/>
    <mergeCell ref="U5:V5"/>
    <mergeCell ref="A2:V2"/>
    <mergeCell ref="B3:N3"/>
    <mergeCell ref="R3:S3"/>
    <mergeCell ref="U3:V3"/>
    <mergeCell ref="A4:A6"/>
    <mergeCell ref="B4:B6"/>
    <mergeCell ref="M4:Q4"/>
    <mergeCell ref="R4:V4"/>
  </mergeCells>
  <printOptions horizontalCentered="1"/>
  <pageMargins left="0.15763888888888888" right="0.15763888888888888" top="0" bottom="0" header="0.5118055555555555" footer="0.5118055555555555"/>
  <pageSetup firstPageNumber="1" useFirstPageNumber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F51"/>
  <sheetViews>
    <sheetView view="pageBreakPreview" zoomScale="70" zoomScaleSheetLayoutView="70" zoomScalePageLayoutView="0" workbookViewId="0" topLeftCell="A1">
      <pane xSplit="3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6" sqref="J16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54" customWidth="1"/>
    <col min="11" max="11" width="12.8515625" style="54" customWidth="1"/>
    <col min="12" max="12" width="13.140625" style="54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0.14062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55"/>
      <c r="B1" s="12"/>
      <c r="C1" s="12"/>
      <c r="D1" s="12"/>
      <c r="E1" s="12"/>
      <c r="F1" s="12"/>
      <c r="G1" s="12"/>
      <c r="H1" s="12"/>
      <c r="I1" s="12"/>
      <c r="J1" s="56"/>
      <c r="K1" s="56"/>
      <c r="L1" s="56"/>
      <c r="M1" s="12"/>
      <c r="N1" s="56"/>
      <c r="O1" s="56"/>
      <c r="P1" s="56"/>
      <c r="Q1" s="56"/>
      <c r="R1" s="56"/>
      <c r="T1" s="56"/>
      <c r="U1" s="56"/>
      <c r="V1" s="56"/>
    </row>
    <row r="2" spans="1:22" ht="68.25" customHeight="1">
      <c r="A2" s="282" t="s">
        <v>104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</row>
    <row r="3" spans="1:22" ht="15">
      <c r="A3" s="57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58"/>
      <c r="P3" s="58"/>
      <c r="Q3" s="58"/>
      <c r="R3" s="284"/>
      <c r="S3" s="284"/>
      <c r="T3" s="58"/>
      <c r="U3" s="284" t="s">
        <v>0</v>
      </c>
      <c r="V3" s="284"/>
    </row>
    <row r="4" spans="1:110" ht="54" customHeight="1">
      <c r="A4" s="268" t="s">
        <v>1</v>
      </c>
      <c r="B4" s="268" t="s">
        <v>2</v>
      </c>
      <c r="C4" s="22" t="s">
        <v>67</v>
      </c>
      <c r="D4" s="268" t="s">
        <v>68</v>
      </c>
      <c r="E4" s="268"/>
      <c r="F4" s="268"/>
      <c r="G4" s="268"/>
      <c r="H4" s="268" t="s">
        <v>105</v>
      </c>
      <c r="I4" s="268"/>
      <c r="J4" s="268"/>
      <c r="K4" s="268"/>
      <c r="L4" s="268"/>
      <c r="M4" s="268" t="s">
        <v>70</v>
      </c>
      <c r="N4" s="268"/>
      <c r="O4" s="268"/>
      <c r="P4" s="268"/>
      <c r="Q4" s="268"/>
      <c r="R4" s="268" t="s">
        <v>71</v>
      </c>
      <c r="S4" s="268"/>
      <c r="T4" s="268"/>
      <c r="U4" s="268"/>
      <c r="V4" s="268"/>
      <c r="W4" s="285" t="s">
        <v>72</v>
      </c>
      <c r="X4" s="285"/>
      <c r="Y4" s="285" t="s">
        <v>4</v>
      </c>
      <c r="Z4" s="285"/>
      <c r="AA4" s="285" t="s">
        <v>73</v>
      </c>
      <c r="AB4" s="285"/>
      <c r="AC4" s="285" t="s">
        <v>74</v>
      </c>
      <c r="AD4" s="285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</row>
    <row r="5" spans="1:110" ht="46.5" customHeight="1">
      <c r="A5" s="268"/>
      <c r="B5" s="268"/>
      <c r="C5" s="59"/>
      <c r="D5" s="268" t="s">
        <v>75</v>
      </c>
      <c r="E5" s="268"/>
      <c r="F5" s="268" t="s">
        <v>76</v>
      </c>
      <c r="G5" s="268"/>
      <c r="H5" s="268" t="s">
        <v>75</v>
      </c>
      <c r="I5" s="268"/>
      <c r="J5" s="19" t="s">
        <v>77</v>
      </c>
      <c r="K5" s="268" t="s">
        <v>76</v>
      </c>
      <c r="L5" s="268"/>
      <c r="M5" s="268" t="s">
        <v>75</v>
      </c>
      <c r="N5" s="268"/>
      <c r="O5" s="19" t="s">
        <v>77</v>
      </c>
      <c r="P5" s="268" t="s">
        <v>76</v>
      </c>
      <c r="Q5" s="268"/>
      <c r="R5" s="268" t="s">
        <v>75</v>
      </c>
      <c r="S5" s="268"/>
      <c r="T5" s="19" t="s">
        <v>77</v>
      </c>
      <c r="U5" s="268" t="s">
        <v>76</v>
      </c>
      <c r="V5" s="268"/>
      <c r="W5" s="23"/>
      <c r="X5" s="60"/>
      <c r="Y5" s="23"/>
      <c r="Z5" s="60"/>
      <c r="AA5" s="23"/>
      <c r="AB5" s="60"/>
      <c r="AC5" s="23"/>
      <c r="AD5" s="60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</row>
    <row r="6" spans="1:110" ht="36.75" customHeight="1">
      <c r="A6" s="268"/>
      <c r="B6" s="268"/>
      <c r="C6" s="59"/>
      <c r="D6" s="61" t="s">
        <v>7</v>
      </c>
      <c r="E6" s="61" t="s">
        <v>8</v>
      </c>
      <c r="F6" s="61" t="s">
        <v>7</v>
      </c>
      <c r="G6" s="61" t="s">
        <v>8</v>
      </c>
      <c r="H6" s="61" t="s">
        <v>7</v>
      </c>
      <c r="I6" s="61" t="s">
        <v>8</v>
      </c>
      <c r="J6" s="25" t="s">
        <v>78</v>
      </c>
      <c r="K6" s="25" t="s">
        <v>7</v>
      </c>
      <c r="L6" s="25" t="s">
        <v>8</v>
      </c>
      <c r="M6" s="61" t="s">
        <v>7</v>
      </c>
      <c r="N6" s="25" t="s">
        <v>8</v>
      </c>
      <c r="O6" s="25" t="s">
        <v>78</v>
      </c>
      <c r="P6" s="25" t="s">
        <v>7</v>
      </c>
      <c r="Q6" s="25" t="s">
        <v>8</v>
      </c>
      <c r="R6" s="25" t="s">
        <v>7</v>
      </c>
      <c r="S6" s="25" t="s">
        <v>8</v>
      </c>
      <c r="T6" s="25" t="s">
        <v>78</v>
      </c>
      <c r="U6" s="25" t="s">
        <v>7</v>
      </c>
      <c r="V6" s="25" t="s">
        <v>8</v>
      </c>
      <c r="W6" s="25" t="s">
        <v>9</v>
      </c>
      <c r="X6" s="25" t="s">
        <v>8</v>
      </c>
      <c r="Y6" s="25" t="s">
        <v>9</v>
      </c>
      <c r="Z6" s="25" t="s">
        <v>8</v>
      </c>
      <c r="AA6" s="25" t="s">
        <v>9</v>
      </c>
      <c r="AB6" s="25" t="s">
        <v>8</v>
      </c>
      <c r="AC6" s="25" t="s">
        <v>9</v>
      </c>
      <c r="AD6" s="25" t="s">
        <v>8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</row>
    <row r="7" spans="1:110" ht="15.75" customHeight="1">
      <c r="A7" s="28">
        <v>1</v>
      </c>
      <c r="B7" s="28">
        <v>2</v>
      </c>
      <c r="C7" s="62">
        <v>3</v>
      </c>
      <c r="D7" s="62">
        <v>3</v>
      </c>
      <c r="E7" s="62">
        <v>4</v>
      </c>
      <c r="F7" s="62">
        <v>5</v>
      </c>
      <c r="G7" s="62">
        <v>6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3</v>
      </c>
      <c r="X7" s="62">
        <v>4</v>
      </c>
      <c r="Y7" s="62">
        <v>5</v>
      </c>
      <c r="Z7" s="62">
        <v>6</v>
      </c>
      <c r="AA7" s="62">
        <v>7</v>
      </c>
      <c r="AB7" s="62">
        <v>8</v>
      </c>
      <c r="AC7" s="62">
        <v>9</v>
      </c>
      <c r="AD7" s="62">
        <v>10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</row>
    <row r="8" spans="1:31" s="36" customFormat="1" ht="16.5" customHeight="1">
      <c r="A8" s="19">
        <v>1</v>
      </c>
      <c r="B8" s="63" t="s">
        <v>10</v>
      </c>
      <c r="C8" s="64" t="s">
        <v>79</v>
      </c>
      <c r="D8" s="96">
        <f>H8+M8+R8</f>
        <v>85863.94895600001</v>
      </c>
      <c r="E8" s="96">
        <f aca="true" t="shared" si="0" ref="E8:E47">D8/$D$50*1000</f>
        <v>405.13265670578136</v>
      </c>
      <c r="F8" s="96">
        <f>H8+P8+U8</f>
        <v>76926.08486269442</v>
      </c>
      <c r="G8" s="96">
        <f aca="true" t="shared" si="1" ref="G8:G16">F8/$D$50*1000</f>
        <v>362.96105070089504</v>
      </c>
      <c r="H8" s="65">
        <f>H9+H22+H23+H27</f>
        <v>42297.9333599672</v>
      </c>
      <c r="I8" s="65">
        <f>H8/$H$50*1000</f>
        <v>280.25113159385745</v>
      </c>
      <c r="J8" s="66">
        <f>K8/H8</f>
        <v>1</v>
      </c>
      <c r="K8" s="65">
        <f>K9+K22+K23+K27</f>
        <v>42297.9333599672</v>
      </c>
      <c r="L8" s="65">
        <f>K8/$K$50*1000</f>
        <v>280.25113159385745</v>
      </c>
      <c r="M8" s="65">
        <f>M9+M22+M23+M27</f>
        <v>36028.70543041673</v>
      </c>
      <c r="N8" s="65">
        <f>M8/$M$50*1000</f>
        <v>714.0605907119782</v>
      </c>
      <c r="O8" s="66">
        <f>P8/M8</f>
        <v>0.7687441417362081</v>
      </c>
      <c r="P8" s="65">
        <f>P9+P22+P23+P27</f>
        <v>27696.85623397237</v>
      </c>
      <c r="Q8" s="65">
        <f>P8/$M$50*1000</f>
        <v>548.9298959545293</v>
      </c>
      <c r="R8" s="65">
        <f>R9+R22+R23+R27</f>
        <v>7537.310165616074</v>
      </c>
      <c r="S8" s="65">
        <f>R8/$R$50*1000</f>
        <v>714.060662401244</v>
      </c>
      <c r="T8" s="66">
        <f>U8/R8</f>
        <v>0.9195979887326704</v>
      </c>
      <c r="U8" s="65">
        <f>U9+U22+U23+U27</f>
        <v>6931.295268754853</v>
      </c>
      <c r="V8" s="65">
        <f>U8/$R$50*1000</f>
        <v>656.6487489773023</v>
      </c>
      <c r="W8" s="67">
        <v>18463.34</v>
      </c>
      <c r="X8" s="68">
        <v>301.19</v>
      </c>
      <c r="Y8" s="69">
        <v>12392.62</v>
      </c>
      <c r="Z8" s="68">
        <v>237.51</v>
      </c>
      <c r="AA8" s="69">
        <v>4813.97</v>
      </c>
      <c r="AB8" s="68">
        <v>665.37</v>
      </c>
      <c r="AC8" s="69">
        <v>1256.74</v>
      </c>
      <c r="AD8" s="68">
        <v>665.37</v>
      </c>
      <c r="AE8" s="35"/>
    </row>
    <row r="9" spans="1:31" s="36" customFormat="1" ht="16.5" customHeight="1">
      <c r="A9" s="19" t="s">
        <v>11</v>
      </c>
      <c r="B9" s="63" t="s">
        <v>12</v>
      </c>
      <c r="C9" s="64" t="s">
        <v>79</v>
      </c>
      <c r="D9" s="96">
        <f aca="true" t="shared" si="2" ref="D9:D48">H9+M9+R9</f>
        <v>72735.26908000001</v>
      </c>
      <c r="E9" s="96">
        <f t="shared" si="0"/>
        <v>343.1874862136905</v>
      </c>
      <c r="F9" s="96">
        <f aca="true" t="shared" si="3" ref="F9:F48">H9+P9+U9</f>
        <v>63797.404986694426</v>
      </c>
      <c r="G9" s="96">
        <f t="shared" si="1"/>
        <v>301.0158802088042</v>
      </c>
      <c r="H9" s="65">
        <f>SUM(H10:H21)-H10-H14-H17</f>
        <v>32948.63054522098</v>
      </c>
      <c r="I9" s="65">
        <f>H9/$H$50*1000</f>
        <v>218.30596110176663</v>
      </c>
      <c r="J9" s="66">
        <f>K9/H9</f>
        <v>1</v>
      </c>
      <c r="K9" s="65">
        <f>SUM(K10:K21)-K10-K14-K17</f>
        <v>32948.63054522098</v>
      </c>
      <c r="L9" s="65">
        <f aca="true" t="shared" si="4" ref="L9:L47">K9/$K$50*1000</f>
        <v>218.30596110176663</v>
      </c>
      <c r="M9" s="65">
        <f>SUM(M10:M21)-M10-M14-M17</f>
        <v>32903.19433300245</v>
      </c>
      <c r="N9" s="65">
        <f>M9/$M$50*1000</f>
        <v>652.1154202198874</v>
      </c>
      <c r="O9" s="66">
        <f>P9/M9</f>
        <v>0.7467768900453724</v>
      </c>
      <c r="P9" s="65">
        <f>SUM(P10:P21)-P10-P14-P17</f>
        <v>24571.34513655809</v>
      </c>
      <c r="Q9" s="65">
        <f>P9/$M$50*1000</f>
        <v>486.9847254624386</v>
      </c>
      <c r="R9" s="65">
        <f>SUM(R10:R21)-R10-R14-R17</f>
        <v>6883.4442017765805</v>
      </c>
      <c r="S9" s="65">
        <f>R9/$R$50*1000</f>
        <v>652.1154919091532</v>
      </c>
      <c r="T9" s="66">
        <f>U9/R9</f>
        <v>0.9119605129210153</v>
      </c>
      <c r="U9" s="65">
        <f>SUM(U10:U21)-U10-U14-U17</f>
        <v>6277.429304915359</v>
      </c>
      <c r="V9" s="65">
        <f>U9/$R$50*1000</f>
        <v>594.7035784852116</v>
      </c>
      <c r="W9" s="67">
        <v>16016.67</v>
      </c>
      <c r="X9" s="68">
        <v>261.28</v>
      </c>
      <c r="Y9" s="69">
        <v>10310.1</v>
      </c>
      <c r="Z9" s="68">
        <v>197.59</v>
      </c>
      <c r="AA9" s="69">
        <v>4525.21</v>
      </c>
      <c r="AB9" s="68">
        <v>625.46</v>
      </c>
      <c r="AC9" s="69">
        <v>1181.36</v>
      </c>
      <c r="AD9" s="68">
        <v>625.46</v>
      </c>
      <c r="AE9" s="35"/>
    </row>
    <row r="10" spans="1:110" s="43" customFormat="1" ht="16.5" customHeight="1">
      <c r="A10" s="37" t="s">
        <v>13</v>
      </c>
      <c r="B10" s="44" t="s">
        <v>80</v>
      </c>
      <c r="C10" s="70" t="s">
        <v>79</v>
      </c>
      <c r="D10" s="97">
        <f t="shared" si="2"/>
        <v>63225</v>
      </c>
      <c r="E10" s="97">
        <f t="shared" si="0"/>
        <v>298.3150965179681</v>
      </c>
      <c r="F10" s="97">
        <f t="shared" si="3"/>
        <v>54287.13590669442</v>
      </c>
      <c r="G10" s="97">
        <f t="shared" si="1"/>
        <v>256.14349051308176</v>
      </c>
      <c r="H10" s="71">
        <f>H11+H12</f>
        <v>26176.1</v>
      </c>
      <c r="I10" s="71">
        <f>I11+I12</f>
        <v>173.43357140604422</v>
      </c>
      <c r="J10" s="72">
        <f>IF(H10=0,0,K10/H10)</f>
        <v>1</v>
      </c>
      <c r="K10" s="71">
        <f>K11+K12</f>
        <v>26176.1</v>
      </c>
      <c r="L10" s="71">
        <f t="shared" si="4"/>
        <v>173.43357140604422</v>
      </c>
      <c r="M10" s="71">
        <f>M11+M12</f>
        <v>30639.109</v>
      </c>
      <c r="N10" s="71">
        <f>N11+N12</f>
        <v>607.2430305241647</v>
      </c>
      <c r="O10" s="72">
        <f>IF(M10=0," ",P10/M10)</f>
        <v>0.7280648991312262</v>
      </c>
      <c r="P10" s="71">
        <f>P11+P12</f>
        <v>22307.259803555644</v>
      </c>
      <c r="Q10" s="71">
        <f>Q11+Q12</f>
        <v>442.1123357667161</v>
      </c>
      <c r="R10" s="71">
        <f>R11+R12</f>
        <v>6409.791</v>
      </c>
      <c r="S10" s="71">
        <f>S11+S12</f>
        <v>607.2431022134307</v>
      </c>
      <c r="T10" s="72">
        <f>IF(R10=0," ",U10/R10)</f>
        <v>0.9054548117308004</v>
      </c>
      <c r="U10" s="71">
        <f>U11+U12</f>
        <v>5803.776103138779</v>
      </c>
      <c r="V10" s="71">
        <f>V11+V12</f>
        <v>549.8311887894891</v>
      </c>
      <c r="W10" s="73">
        <v>13921.04</v>
      </c>
      <c r="X10" s="74">
        <v>227.09</v>
      </c>
      <c r="Y10" s="75">
        <v>8526.37</v>
      </c>
      <c r="Z10" s="74">
        <v>163.41</v>
      </c>
      <c r="AA10" s="75">
        <v>4277.88</v>
      </c>
      <c r="AB10" s="76">
        <v>591.28</v>
      </c>
      <c r="AC10" s="75">
        <v>1116.79</v>
      </c>
      <c r="AD10" s="76">
        <v>591.27</v>
      </c>
      <c r="AE10" s="35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</row>
    <row r="11" spans="1:110" s="43" customFormat="1" ht="16.5" customHeight="1">
      <c r="A11" s="37" t="s">
        <v>81</v>
      </c>
      <c r="B11" s="44" t="s">
        <v>82</v>
      </c>
      <c r="C11" s="70"/>
      <c r="D11" s="97">
        <f t="shared" si="2"/>
        <v>63225</v>
      </c>
      <c r="E11" s="97">
        <f t="shared" si="0"/>
        <v>298.3150965179681</v>
      </c>
      <c r="F11" s="97">
        <f t="shared" si="3"/>
        <v>54287.13590669442</v>
      </c>
      <c r="G11" s="97">
        <f t="shared" si="1"/>
        <v>256.14349051308176</v>
      </c>
      <c r="H11" s="98">
        <v>26176.1</v>
      </c>
      <c r="I11" s="71">
        <f>H11/$H$50*1000</f>
        <v>173.43357140604422</v>
      </c>
      <c r="J11" s="99">
        <v>1</v>
      </c>
      <c r="K11" s="71">
        <f>H11*J11</f>
        <v>26176.1</v>
      </c>
      <c r="L11" s="71">
        <f t="shared" si="4"/>
        <v>173.43357140604422</v>
      </c>
      <c r="M11" s="98">
        <v>30639.109</v>
      </c>
      <c r="N11" s="71">
        <f>M11/$M$50*1000</f>
        <v>607.2430305241647</v>
      </c>
      <c r="O11" s="99">
        <f>2783.96/3823.78</f>
        <v>0.7280648991312262</v>
      </c>
      <c r="P11" s="71">
        <f>M11*O11</f>
        <v>22307.259803555644</v>
      </c>
      <c r="Q11" s="71">
        <f>P11/$P$50*1000</f>
        <v>442.1123357667161</v>
      </c>
      <c r="R11" s="98">
        <v>6409.791</v>
      </c>
      <c r="S11" s="71">
        <f>R11/$R$50*1000</f>
        <v>607.2431022134307</v>
      </c>
      <c r="T11" s="99">
        <f>3462.26/3823.78</f>
        <v>0.9054548117308004</v>
      </c>
      <c r="U11" s="71">
        <f>R11*T11</f>
        <v>5803.776103138779</v>
      </c>
      <c r="V11" s="71">
        <f>U11/$U$50*1000</f>
        <v>549.8311887894891</v>
      </c>
      <c r="W11" s="73"/>
      <c r="X11" s="74"/>
      <c r="Y11" s="75"/>
      <c r="Z11" s="74"/>
      <c r="AA11" s="75"/>
      <c r="AB11" s="76"/>
      <c r="AC11" s="75"/>
      <c r="AD11" s="76"/>
      <c r="AE11" s="35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</row>
    <row r="12" spans="1:110" s="43" customFormat="1" ht="16.5" customHeight="1">
      <c r="A12" s="37" t="s">
        <v>83</v>
      </c>
      <c r="B12" s="44" t="s">
        <v>84</v>
      </c>
      <c r="C12" s="70"/>
      <c r="D12" s="97">
        <f t="shared" si="2"/>
        <v>0</v>
      </c>
      <c r="E12" s="97">
        <f t="shared" si="0"/>
        <v>0</v>
      </c>
      <c r="F12" s="97">
        <f t="shared" si="3"/>
        <v>0</v>
      </c>
      <c r="G12" s="97">
        <f t="shared" si="1"/>
        <v>0</v>
      </c>
      <c r="H12" s="98">
        <v>0</v>
      </c>
      <c r="I12" s="71">
        <f>H12/$H$50*1000</f>
        <v>0</v>
      </c>
      <c r="J12" s="72">
        <f>IF(H12=0,0,1)</f>
        <v>0</v>
      </c>
      <c r="K12" s="71">
        <f>H12*J12</f>
        <v>0</v>
      </c>
      <c r="L12" s="71">
        <f t="shared" si="4"/>
        <v>0</v>
      </c>
      <c r="M12" s="98">
        <v>0</v>
      </c>
      <c r="N12" s="71">
        <f>M12/$M$50*1000</f>
        <v>0</v>
      </c>
      <c r="O12" s="72">
        <f>IF(M12=0,0,1)</f>
        <v>0</v>
      </c>
      <c r="P12" s="71">
        <f>M12*O12</f>
        <v>0</v>
      </c>
      <c r="Q12" s="71">
        <f>P12/$P$50*1000</f>
        <v>0</v>
      </c>
      <c r="R12" s="98">
        <v>0</v>
      </c>
      <c r="S12" s="71">
        <f>R12/$R$50*1000</f>
        <v>0</v>
      </c>
      <c r="T12" s="72">
        <f>IF(R12=0,0,1)</f>
        <v>0</v>
      </c>
      <c r="U12" s="71">
        <f>R12*T12</f>
        <v>0</v>
      </c>
      <c r="V12" s="71">
        <f>U12/$U$50*1000</f>
        <v>0</v>
      </c>
      <c r="W12" s="73"/>
      <c r="X12" s="74"/>
      <c r="Y12" s="75"/>
      <c r="Z12" s="74"/>
      <c r="AA12" s="75"/>
      <c r="AB12" s="76"/>
      <c r="AC12" s="75"/>
      <c r="AD12" s="76"/>
      <c r="AE12" s="35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</row>
    <row r="13" spans="1:110" s="43" customFormat="1" ht="16.5" customHeight="1">
      <c r="A13" s="37" t="s">
        <v>15</v>
      </c>
      <c r="B13" s="44" t="s">
        <v>85</v>
      </c>
      <c r="C13" s="70" t="s">
        <v>79</v>
      </c>
      <c r="D13" s="97">
        <f t="shared" si="2"/>
        <v>8532.95379</v>
      </c>
      <c r="E13" s="97">
        <f t="shared" si="0"/>
        <v>40.26111401260911</v>
      </c>
      <c r="F13" s="97">
        <f t="shared" si="3"/>
        <v>8532.95379</v>
      </c>
      <c r="G13" s="97">
        <f t="shared" si="1"/>
        <v>40.26111401260911</v>
      </c>
      <c r="H13" s="98">
        <v>6076.556793252597</v>
      </c>
      <c r="I13" s="71">
        <f>H13/$H$50*1000</f>
        <v>40.26111401260911</v>
      </c>
      <c r="J13" s="72">
        <f>K13/H13</f>
        <v>1</v>
      </c>
      <c r="K13" s="71">
        <f>H13</f>
        <v>6076.556793252597</v>
      </c>
      <c r="L13" s="71">
        <f t="shared" si="4"/>
        <v>40.26111401260911</v>
      </c>
      <c r="M13" s="98">
        <v>2031.4183921204665</v>
      </c>
      <c r="N13" s="71">
        <f>M13/$M$50*1000</f>
        <v>40.26111401260911</v>
      </c>
      <c r="O13" s="72">
        <f>P13/M13</f>
        <v>1</v>
      </c>
      <c r="P13" s="71">
        <f>M13</f>
        <v>2031.4183921204665</v>
      </c>
      <c r="Q13" s="71">
        <f>P13/$P$50*1000</f>
        <v>40.26111401260911</v>
      </c>
      <c r="R13" s="98">
        <v>424.97860462693626</v>
      </c>
      <c r="S13" s="71">
        <f>R13/$R$50*1000</f>
        <v>40.26111401260911</v>
      </c>
      <c r="T13" s="72">
        <f>U13/R13</f>
        <v>1</v>
      </c>
      <c r="U13" s="71">
        <f>R13</f>
        <v>424.97860462693626</v>
      </c>
      <c r="V13" s="71">
        <f>U13/$U$50*1000</f>
        <v>40.26111401260911</v>
      </c>
      <c r="W13" s="77">
        <v>1850</v>
      </c>
      <c r="X13" s="74">
        <v>30.18</v>
      </c>
      <c r="Y13" s="75">
        <v>1574.65</v>
      </c>
      <c r="Z13" s="74">
        <v>30.18</v>
      </c>
      <c r="AA13" s="75">
        <v>218.34</v>
      </c>
      <c r="AB13" s="76">
        <v>30.18</v>
      </c>
      <c r="AC13" s="75">
        <v>57</v>
      </c>
      <c r="AD13" s="76">
        <v>30.18</v>
      </c>
      <c r="AE13" s="35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</row>
    <row r="14" spans="1:110" s="43" customFormat="1" ht="21" customHeight="1">
      <c r="A14" s="37" t="s">
        <v>17</v>
      </c>
      <c r="B14" s="44" t="s">
        <v>86</v>
      </c>
      <c r="C14" s="70" t="s">
        <v>79</v>
      </c>
      <c r="D14" s="97">
        <f t="shared" si="2"/>
        <v>0</v>
      </c>
      <c r="E14" s="97">
        <f t="shared" si="0"/>
        <v>0</v>
      </c>
      <c r="F14" s="97">
        <f t="shared" si="3"/>
        <v>0</v>
      </c>
      <c r="G14" s="97">
        <f t="shared" si="1"/>
        <v>0</v>
      </c>
      <c r="H14" s="71">
        <f>H15+H16</f>
        <v>0</v>
      </c>
      <c r="I14" s="71">
        <f aca="true" t="shared" si="5" ref="I14:V14">I15+I16</f>
        <v>0</v>
      </c>
      <c r="J14" s="72">
        <f>IF(H14=0,0,K14/H14)</f>
        <v>0</v>
      </c>
      <c r="K14" s="71">
        <f>K15+K16</f>
        <v>0</v>
      </c>
      <c r="L14" s="71">
        <f t="shared" si="4"/>
        <v>0</v>
      </c>
      <c r="M14" s="71">
        <f t="shared" si="5"/>
        <v>0</v>
      </c>
      <c r="N14" s="71">
        <f t="shared" si="5"/>
        <v>0</v>
      </c>
      <c r="O14" s="72">
        <f>IF(M14=0,0,P14/M14)</f>
        <v>0</v>
      </c>
      <c r="P14" s="71">
        <f t="shared" si="5"/>
        <v>0</v>
      </c>
      <c r="Q14" s="71">
        <f t="shared" si="5"/>
        <v>0</v>
      </c>
      <c r="R14" s="71">
        <f t="shared" si="5"/>
        <v>0</v>
      </c>
      <c r="S14" s="71">
        <f t="shared" si="5"/>
        <v>0</v>
      </c>
      <c r="T14" s="72">
        <f>IF(R14=0,0,U14/R14)</f>
        <v>0</v>
      </c>
      <c r="U14" s="71">
        <f t="shared" si="5"/>
        <v>0</v>
      </c>
      <c r="V14" s="71">
        <f t="shared" si="5"/>
        <v>0</v>
      </c>
      <c r="W14" s="77">
        <v>0</v>
      </c>
      <c r="X14" s="74">
        <v>0</v>
      </c>
      <c r="Y14" s="75">
        <v>0</v>
      </c>
      <c r="Z14" s="74">
        <v>0</v>
      </c>
      <c r="AA14" s="75">
        <v>0</v>
      </c>
      <c r="AB14" s="76">
        <v>0</v>
      </c>
      <c r="AC14" s="75">
        <v>0</v>
      </c>
      <c r="AD14" s="76">
        <v>0</v>
      </c>
      <c r="AE14" s="35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</row>
    <row r="15" spans="1:110" s="43" customFormat="1" ht="15.75" customHeight="1">
      <c r="A15" s="37" t="s">
        <v>87</v>
      </c>
      <c r="B15" s="44"/>
      <c r="C15" s="70"/>
      <c r="D15" s="97">
        <f t="shared" si="2"/>
        <v>0</v>
      </c>
      <c r="E15" s="97">
        <f t="shared" si="0"/>
        <v>0</v>
      </c>
      <c r="F15" s="97">
        <f t="shared" si="3"/>
        <v>0</v>
      </c>
      <c r="G15" s="97">
        <f t="shared" si="1"/>
        <v>0</v>
      </c>
      <c r="H15" s="98">
        <v>0</v>
      </c>
      <c r="I15" s="71">
        <f aca="true" t="shared" si="6" ref="I15:I22">H15/$H$50*1000</f>
        <v>0</v>
      </c>
      <c r="J15" s="99">
        <v>0</v>
      </c>
      <c r="K15" s="71">
        <f>H15*J15</f>
        <v>0</v>
      </c>
      <c r="L15" s="71">
        <f t="shared" si="4"/>
        <v>0</v>
      </c>
      <c r="M15" s="98">
        <v>0</v>
      </c>
      <c r="N15" s="71">
        <f aca="true" t="shared" si="7" ref="N15:N47">M15/$M$50*1000</f>
        <v>0</v>
      </c>
      <c r="O15" s="99">
        <v>0</v>
      </c>
      <c r="P15" s="71">
        <f>M15*O15</f>
        <v>0</v>
      </c>
      <c r="Q15" s="71">
        <f aca="true" t="shared" si="8" ref="Q15:Q47">P15/$P$50*1000</f>
        <v>0</v>
      </c>
      <c r="R15" s="98">
        <v>0</v>
      </c>
      <c r="S15" s="71">
        <f>R15/$R$50*1000</f>
        <v>0</v>
      </c>
      <c r="T15" s="99">
        <v>0</v>
      </c>
      <c r="U15" s="71">
        <f>R15*T15</f>
        <v>0</v>
      </c>
      <c r="V15" s="71">
        <f>U15/$U$50*1000</f>
        <v>0</v>
      </c>
      <c r="W15" s="77"/>
      <c r="X15" s="74"/>
      <c r="Y15" s="75"/>
      <c r="Z15" s="74"/>
      <c r="AA15" s="75"/>
      <c r="AB15" s="76"/>
      <c r="AC15" s="75"/>
      <c r="AD15" s="76"/>
      <c r="AE15" s="35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</row>
    <row r="16" spans="1:110" s="43" customFormat="1" ht="15.75" customHeight="1">
      <c r="A16" s="37" t="s">
        <v>88</v>
      </c>
      <c r="B16" s="44"/>
      <c r="C16" s="70"/>
      <c r="D16" s="97">
        <f t="shared" si="2"/>
        <v>0</v>
      </c>
      <c r="E16" s="97">
        <f t="shared" si="0"/>
        <v>0</v>
      </c>
      <c r="F16" s="97">
        <f t="shared" si="3"/>
        <v>0</v>
      </c>
      <c r="G16" s="97">
        <f t="shared" si="1"/>
        <v>0</v>
      </c>
      <c r="H16" s="98">
        <v>0</v>
      </c>
      <c r="I16" s="71">
        <f t="shared" si="6"/>
        <v>0</v>
      </c>
      <c r="J16" s="99">
        <v>0</v>
      </c>
      <c r="K16" s="71">
        <f>H16*J16</f>
        <v>0</v>
      </c>
      <c r="L16" s="71">
        <f t="shared" si="4"/>
        <v>0</v>
      </c>
      <c r="M16" s="98">
        <v>0</v>
      </c>
      <c r="N16" s="71">
        <f t="shared" si="7"/>
        <v>0</v>
      </c>
      <c r="O16" s="99">
        <v>0</v>
      </c>
      <c r="P16" s="71">
        <f>M16*O16</f>
        <v>0</v>
      </c>
      <c r="Q16" s="71">
        <f t="shared" si="8"/>
        <v>0</v>
      </c>
      <c r="R16" s="98">
        <v>0</v>
      </c>
      <c r="S16" s="71">
        <f>R16/$R$50*1000</f>
        <v>0</v>
      </c>
      <c r="T16" s="99">
        <v>0</v>
      </c>
      <c r="U16" s="71">
        <f>R16*T16</f>
        <v>0</v>
      </c>
      <c r="V16" s="71">
        <f>U16/$U$50*1000</f>
        <v>0</v>
      </c>
      <c r="W16" s="77"/>
      <c r="X16" s="74"/>
      <c r="Y16" s="75"/>
      <c r="Z16" s="74"/>
      <c r="AA16" s="75"/>
      <c r="AB16" s="76"/>
      <c r="AC16" s="75"/>
      <c r="AD16" s="76"/>
      <c r="AE16" s="35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</row>
    <row r="17" spans="1:110" s="43" customFormat="1" ht="15.75" customHeight="1">
      <c r="A17" s="37" t="s">
        <v>19</v>
      </c>
      <c r="B17" s="44" t="s">
        <v>89</v>
      </c>
      <c r="C17" s="70"/>
      <c r="D17" s="97">
        <f t="shared" si="2"/>
        <v>0</v>
      </c>
      <c r="E17" s="97">
        <f t="shared" si="0"/>
        <v>0</v>
      </c>
      <c r="F17" s="97">
        <f aca="true" t="shared" si="9" ref="F17:V17">F18+F19</f>
        <v>0</v>
      </c>
      <c r="G17" s="97">
        <f>G18+G19</f>
        <v>0</v>
      </c>
      <c r="H17" s="71">
        <f t="shared" si="9"/>
        <v>0</v>
      </c>
      <c r="I17" s="71">
        <f t="shared" si="6"/>
        <v>0</v>
      </c>
      <c r="J17" s="72">
        <f>IF(H17=0,0,K17/H17)</f>
        <v>0</v>
      </c>
      <c r="K17" s="71">
        <f>K18+K19</f>
        <v>0</v>
      </c>
      <c r="L17" s="71">
        <f t="shared" si="4"/>
        <v>0</v>
      </c>
      <c r="M17" s="71">
        <f t="shared" si="9"/>
        <v>0</v>
      </c>
      <c r="N17" s="71">
        <f t="shared" si="7"/>
        <v>0</v>
      </c>
      <c r="O17" s="72">
        <f>IF(M17=0,0,P17/M17)</f>
        <v>0</v>
      </c>
      <c r="P17" s="71">
        <f t="shared" si="9"/>
        <v>0</v>
      </c>
      <c r="Q17" s="71">
        <f t="shared" si="8"/>
        <v>0</v>
      </c>
      <c r="R17" s="71">
        <f t="shared" si="9"/>
        <v>0</v>
      </c>
      <c r="S17" s="71">
        <f t="shared" si="9"/>
        <v>0</v>
      </c>
      <c r="T17" s="72">
        <f>IF(R17=0,0,U17/R17)</f>
        <v>0</v>
      </c>
      <c r="U17" s="71">
        <f t="shared" si="9"/>
        <v>0</v>
      </c>
      <c r="V17" s="71">
        <f t="shared" si="9"/>
        <v>0</v>
      </c>
      <c r="W17" s="77"/>
      <c r="X17" s="74"/>
      <c r="Y17" s="75"/>
      <c r="Z17" s="74"/>
      <c r="AA17" s="75"/>
      <c r="AB17" s="76"/>
      <c r="AC17" s="75"/>
      <c r="AD17" s="76"/>
      <c r="AE17" s="35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</row>
    <row r="18" spans="1:110" s="43" customFormat="1" ht="15.75" customHeight="1">
      <c r="A18" s="37" t="s">
        <v>90</v>
      </c>
      <c r="B18" s="44"/>
      <c r="C18" s="70"/>
      <c r="D18" s="97">
        <f t="shared" si="2"/>
        <v>0</v>
      </c>
      <c r="E18" s="97">
        <f t="shared" si="0"/>
        <v>0</v>
      </c>
      <c r="F18" s="97">
        <f t="shared" si="3"/>
        <v>0</v>
      </c>
      <c r="G18" s="97">
        <f aca="true" t="shared" si="10" ref="G18:G40">F18/$D$50*1000</f>
        <v>0</v>
      </c>
      <c r="H18" s="98"/>
      <c r="I18" s="71">
        <f t="shared" si="6"/>
        <v>0</v>
      </c>
      <c r="J18" s="99">
        <v>0</v>
      </c>
      <c r="K18" s="71">
        <f>H18*J18</f>
        <v>0</v>
      </c>
      <c r="L18" s="71">
        <f t="shared" si="4"/>
        <v>0</v>
      </c>
      <c r="M18" s="98"/>
      <c r="N18" s="71">
        <f t="shared" si="7"/>
        <v>0</v>
      </c>
      <c r="O18" s="99">
        <v>0</v>
      </c>
      <c r="P18" s="71">
        <f>M18*O18</f>
        <v>0</v>
      </c>
      <c r="Q18" s="71">
        <f t="shared" si="8"/>
        <v>0</v>
      </c>
      <c r="R18" s="98"/>
      <c r="S18" s="71">
        <f aca="true" t="shared" si="11" ref="S18:S47">R18/$R$50*1000</f>
        <v>0</v>
      </c>
      <c r="T18" s="99">
        <v>0</v>
      </c>
      <c r="U18" s="71">
        <f>R18*T18</f>
        <v>0</v>
      </c>
      <c r="V18" s="71">
        <f aca="true" t="shared" si="12" ref="V18:V47">U18/$U$50*1000</f>
        <v>0</v>
      </c>
      <c r="W18" s="77"/>
      <c r="X18" s="74"/>
      <c r="Y18" s="75"/>
      <c r="Z18" s="74"/>
      <c r="AA18" s="75"/>
      <c r="AB18" s="76"/>
      <c r="AC18" s="75"/>
      <c r="AD18" s="76"/>
      <c r="AE18" s="35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</row>
    <row r="19" spans="1:110" s="43" customFormat="1" ht="15.75" customHeight="1">
      <c r="A19" s="37" t="s">
        <v>91</v>
      </c>
      <c r="B19" s="44"/>
      <c r="C19" s="70"/>
      <c r="D19" s="97">
        <f t="shared" si="2"/>
        <v>0</v>
      </c>
      <c r="E19" s="97">
        <f t="shared" si="0"/>
        <v>0</v>
      </c>
      <c r="F19" s="97">
        <f t="shared" si="3"/>
        <v>0</v>
      </c>
      <c r="G19" s="97">
        <f t="shared" si="10"/>
        <v>0</v>
      </c>
      <c r="H19" s="98"/>
      <c r="I19" s="71">
        <f t="shared" si="6"/>
        <v>0</v>
      </c>
      <c r="J19" s="72">
        <f>IF(H19=0,0,1)</f>
        <v>0</v>
      </c>
      <c r="K19" s="71">
        <f>H19*J19</f>
        <v>0</v>
      </c>
      <c r="L19" s="71">
        <f t="shared" si="4"/>
        <v>0</v>
      </c>
      <c r="M19" s="98"/>
      <c r="N19" s="71">
        <f t="shared" si="7"/>
        <v>0</v>
      </c>
      <c r="O19" s="72">
        <f>IF(M19=0,0,1)</f>
        <v>0</v>
      </c>
      <c r="P19" s="71">
        <f>M19*O19</f>
        <v>0</v>
      </c>
      <c r="Q19" s="71">
        <f t="shared" si="8"/>
        <v>0</v>
      </c>
      <c r="R19" s="98"/>
      <c r="S19" s="71">
        <f t="shared" si="11"/>
        <v>0</v>
      </c>
      <c r="T19" s="72">
        <f>IF(R19=0,0,1)</f>
        <v>0</v>
      </c>
      <c r="U19" s="71">
        <f>R19*T19</f>
        <v>0</v>
      </c>
      <c r="V19" s="71">
        <f t="shared" si="12"/>
        <v>0</v>
      </c>
      <c r="W19" s="77"/>
      <c r="X19" s="74"/>
      <c r="Y19" s="75"/>
      <c r="Z19" s="74"/>
      <c r="AA19" s="75"/>
      <c r="AB19" s="76"/>
      <c r="AC19" s="75"/>
      <c r="AD19" s="76"/>
      <c r="AE19" s="35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</row>
    <row r="20" spans="1:110" s="43" customFormat="1" ht="17.25" customHeight="1">
      <c r="A20" s="37" t="s">
        <v>92</v>
      </c>
      <c r="B20" s="44" t="s">
        <v>22</v>
      </c>
      <c r="C20" s="70" t="s">
        <v>79</v>
      </c>
      <c r="D20" s="97">
        <f t="shared" si="2"/>
        <v>805.2278</v>
      </c>
      <c r="E20" s="97">
        <f t="shared" si="0"/>
        <v>3.7993137030597244</v>
      </c>
      <c r="F20" s="97">
        <f t="shared" si="3"/>
        <v>805.2278</v>
      </c>
      <c r="G20" s="97">
        <f t="shared" si="10"/>
        <v>3.7993137030597244</v>
      </c>
      <c r="H20" s="98">
        <v>573.4254021087162</v>
      </c>
      <c r="I20" s="71">
        <f t="shared" si="6"/>
        <v>3.7993137030597244</v>
      </c>
      <c r="J20" s="72">
        <f aca="true" t="shared" si="13" ref="J20:J40">IF(H20=0,0,1)</f>
        <v>1</v>
      </c>
      <c r="K20" s="71">
        <f>H20</f>
        <v>573.4254021087162</v>
      </c>
      <c r="L20" s="71">
        <f t="shared" si="4"/>
        <v>3.7993137030597244</v>
      </c>
      <c r="M20" s="98">
        <v>191.69851413981473</v>
      </c>
      <c r="N20" s="71">
        <f t="shared" si="7"/>
        <v>3.799313703059725</v>
      </c>
      <c r="O20" s="72">
        <f aca="true" t="shared" si="14" ref="O20:O47">IF(M20=0,0,1)</f>
        <v>1</v>
      </c>
      <c r="P20" s="71">
        <f>M20</f>
        <v>191.69851413981473</v>
      </c>
      <c r="Q20" s="71">
        <f t="shared" si="8"/>
        <v>3.799313703059725</v>
      </c>
      <c r="R20" s="98">
        <v>40.103883751469105</v>
      </c>
      <c r="S20" s="71">
        <f t="shared" si="11"/>
        <v>3.7993137030597244</v>
      </c>
      <c r="T20" s="72">
        <f aca="true" t="shared" si="15" ref="T20:T47">IF(R20=0,0,1)</f>
        <v>1</v>
      </c>
      <c r="U20" s="71">
        <f>R20</f>
        <v>40.103883751469105</v>
      </c>
      <c r="V20" s="71">
        <f t="shared" si="12"/>
        <v>3.7993137030597244</v>
      </c>
      <c r="W20" s="77">
        <v>28.12</v>
      </c>
      <c r="X20" s="74">
        <v>0.46</v>
      </c>
      <c r="Y20" s="75">
        <v>23.93</v>
      </c>
      <c r="Z20" s="74">
        <v>0.46</v>
      </c>
      <c r="AA20" s="75">
        <v>3.32</v>
      </c>
      <c r="AB20" s="76">
        <v>0.46</v>
      </c>
      <c r="AC20" s="75">
        <v>0.87</v>
      </c>
      <c r="AD20" s="76">
        <v>0.46</v>
      </c>
      <c r="AE20" s="35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</row>
    <row r="21" spans="1:110" s="43" customFormat="1" ht="17.25" customHeight="1">
      <c r="A21" s="37" t="s">
        <v>21</v>
      </c>
      <c r="B21" s="44" t="s">
        <v>24</v>
      </c>
      <c r="C21" s="70" t="s">
        <v>79</v>
      </c>
      <c r="D21" s="97">
        <f t="shared" si="2"/>
        <v>172.08749000000003</v>
      </c>
      <c r="E21" s="97">
        <f t="shared" si="0"/>
        <v>0.8119619800535369</v>
      </c>
      <c r="F21" s="97">
        <f t="shared" si="3"/>
        <v>172.08749000000003</v>
      </c>
      <c r="G21" s="97">
        <f t="shared" si="10"/>
        <v>0.8119619800535369</v>
      </c>
      <c r="H21" s="98">
        <v>122.54834985966664</v>
      </c>
      <c r="I21" s="71">
        <f t="shared" si="6"/>
        <v>0.8119619800535368</v>
      </c>
      <c r="J21" s="72">
        <f t="shared" si="13"/>
        <v>1</v>
      </c>
      <c r="K21" s="71">
        <f>H21</f>
        <v>122.54834985966664</v>
      </c>
      <c r="L21" s="71">
        <f t="shared" si="4"/>
        <v>0.8119619800535368</v>
      </c>
      <c r="M21" s="98">
        <v>40.96842674215946</v>
      </c>
      <c r="N21" s="71">
        <f t="shared" si="7"/>
        <v>0.8119619800535368</v>
      </c>
      <c r="O21" s="72">
        <f t="shared" si="14"/>
        <v>1</v>
      </c>
      <c r="P21" s="71">
        <f>M21</f>
        <v>40.96842674215946</v>
      </c>
      <c r="Q21" s="71">
        <f t="shared" si="8"/>
        <v>0.8119619800535368</v>
      </c>
      <c r="R21" s="98">
        <v>8.570713398173911</v>
      </c>
      <c r="S21" s="71">
        <f t="shared" si="11"/>
        <v>0.8119619800535368</v>
      </c>
      <c r="T21" s="72">
        <f t="shared" si="15"/>
        <v>1</v>
      </c>
      <c r="U21" s="71">
        <f>R21</f>
        <v>8.570713398173911</v>
      </c>
      <c r="V21" s="71">
        <f t="shared" si="12"/>
        <v>0.8119619800535368</v>
      </c>
      <c r="W21" s="77">
        <v>217.51</v>
      </c>
      <c r="X21" s="74">
        <v>3.55</v>
      </c>
      <c r="Y21" s="75">
        <v>185.14</v>
      </c>
      <c r="Z21" s="74">
        <v>3.55</v>
      </c>
      <c r="AA21" s="75">
        <v>25.67</v>
      </c>
      <c r="AB21" s="76">
        <v>3.55</v>
      </c>
      <c r="AC21" s="75">
        <v>6.7</v>
      </c>
      <c r="AD21" s="76">
        <v>3.55</v>
      </c>
      <c r="AE21" s="35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</row>
    <row r="22" spans="1:31" s="36" customFormat="1" ht="16.5" customHeight="1">
      <c r="A22" s="19" t="s">
        <v>25</v>
      </c>
      <c r="B22" s="63" t="s">
        <v>93</v>
      </c>
      <c r="C22" s="64" t="s">
        <v>79</v>
      </c>
      <c r="D22" s="96">
        <f t="shared" si="2"/>
        <v>7822.96698</v>
      </c>
      <c r="E22" s="96">
        <f t="shared" si="0"/>
        <v>36.91117674488853</v>
      </c>
      <c r="F22" s="96">
        <f t="shared" si="3"/>
        <v>7822.96698</v>
      </c>
      <c r="G22" s="96">
        <f t="shared" si="10"/>
        <v>36.91117674488853</v>
      </c>
      <c r="H22" s="100">
        <v>5570.955183352722</v>
      </c>
      <c r="I22" s="65">
        <f t="shared" si="6"/>
        <v>36.91117674488853</v>
      </c>
      <c r="J22" s="66">
        <f t="shared" si="13"/>
        <v>1</v>
      </c>
      <c r="K22" s="65">
        <f>H22</f>
        <v>5570.955183352722</v>
      </c>
      <c r="L22" s="65">
        <f t="shared" si="4"/>
        <v>36.91117674488853</v>
      </c>
      <c r="M22" s="100">
        <v>1862.3936558460025</v>
      </c>
      <c r="N22" s="65">
        <f t="shared" si="7"/>
        <v>36.91117674488853</v>
      </c>
      <c r="O22" s="66">
        <f t="shared" si="14"/>
        <v>1</v>
      </c>
      <c r="P22" s="65">
        <f>M22</f>
        <v>1862.3936558460025</v>
      </c>
      <c r="Q22" s="65">
        <f t="shared" si="8"/>
        <v>36.91117674488853</v>
      </c>
      <c r="R22" s="100">
        <v>389.61814080127556</v>
      </c>
      <c r="S22" s="65">
        <f t="shared" si="11"/>
        <v>36.91117674488853</v>
      </c>
      <c r="T22" s="66">
        <f t="shared" si="15"/>
        <v>1</v>
      </c>
      <c r="U22" s="65">
        <f>R22</f>
        <v>389.61814080127556</v>
      </c>
      <c r="V22" s="65">
        <f t="shared" si="12"/>
        <v>36.91117674488853</v>
      </c>
      <c r="W22" s="86">
        <v>1270.24</v>
      </c>
      <c r="X22" s="68">
        <v>20.72</v>
      </c>
      <c r="Y22" s="69">
        <v>1081.18</v>
      </c>
      <c r="Z22" s="68">
        <v>20.72</v>
      </c>
      <c r="AA22" s="69">
        <v>149.92</v>
      </c>
      <c r="AB22" s="68">
        <v>20.72</v>
      </c>
      <c r="AC22" s="69">
        <v>39.14</v>
      </c>
      <c r="AD22" s="68">
        <v>20.72</v>
      </c>
      <c r="AE22" s="35"/>
    </row>
    <row r="23" spans="1:31" s="36" customFormat="1" ht="16.5" customHeight="1">
      <c r="A23" s="19" t="s">
        <v>27</v>
      </c>
      <c r="B23" s="63" t="s">
        <v>28</v>
      </c>
      <c r="C23" s="64"/>
      <c r="D23" s="96">
        <f t="shared" si="2"/>
        <v>4493.3712860000005</v>
      </c>
      <c r="E23" s="96">
        <f t="shared" si="0"/>
        <v>21.201114889270958</v>
      </c>
      <c r="F23" s="96">
        <f t="shared" si="3"/>
        <v>4493.3712860000005</v>
      </c>
      <c r="G23" s="96">
        <f t="shared" si="10"/>
        <v>21.201114889270958</v>
      </c>
      <c r="H23" s="65">
        <f>SUM(H24:H26)</f>
        <v>3199.8562847660123</v>
      </c>
      <c r="I23" s="65">
        <f>SUM(I24:I26)</f>
        <v>21.201114889270958</v>
      </c>
      <c r="J23" s="66">
        <f t="shared" si="13"/>
        <v>1</v>
      </c>
      <c r="K23" s="65">
        <f>SUM(K24:K26)</f>
        <v>3199.8562847660123</v>
      </c>
      <c r="L23" s="65">
        <f t="shared" si="4"/>
        <v>21.20111488927096</v>
      </c>
      <c r="M23" s="65">
        <f>SUM(M24:M26)</f>
        <v>1069.7253609533955</v>
      </c>
      <c r="N23" s="65">
        <f t="shared" si="7"/>
        <v>21.201114889270958</v>
      </c>
      <c r="O23" s="66">
        <f t="shared" si="14"/>
        <v>1</v>
      </c>
      <c r="P23" s="65">
        <f>SUM(P24:P26)</f>
        <v>1069.7253609533955</v>
      </c>
      <c r="Q23" s="65">
        <f t="shared" si="8"/>
        <v>21.201114889270958</v>
      </c>
      <c r="R23" s="65">
        <f>SUM(R24:R26)</f>
        <v>223.78964028059298</v>
      </c>
      <c r="S23" s="65">
        <f t="shared" si="11"/>
        <v>21.20111488927096</v>
      </c>
      <c r="T23" s="66">
        <f t="shared" si="15"/>
        <v>1</v>
      </c>
      <c r="U23" s="65">
        <f>SUM(U24:U26)</f>
        <v>223.78964028059298</v>
      </c>
      <c r="V23" s="65">
        <f t="shared" si="12"/>
        <v>21.20111488927096</v>
      </c>
      <c r="W23" s="86">
        <v>1176.43</v>
      </c>
      <c r="X23" s="68">
        <v>19.19</v>
      </c>
      <c r="Y23" s="69">
        <v>1001.34</v>
      </c>
      <c r="Z23" s="68">
        <v>19.19</v>
      </c>
      <c r="AA23" s="69">
        <v>138.85</v>
      </c>
      <c r="AB23" s="68">
        <v>19.19</v>
      </c>
      <c r="AC23" s="69">
        <v>36.25</v>
      </c>
      <c r="AD23" s="68">
        <v>19.19</v>
      </c>
      <c r="AE23" s="35"/>
    </row>
    <row r="24" spans="1:110" s="43" customFormat="1" ht="16.5" customHeight="1">
      <c r="A24" s="37" t="s">
        <v>29</v>
      </c>
      <c r="B24" s="44" t="s">
        <v>46</v>
      </c>
      <c r="C24" s="70" t="s">
        <v>79</v>
      </c>
      <c r="D24" s="97">
        <f t="shared" si="2"/>
        <v>2899.1915600000007</v>
      </c>
      <c r="E24" s="97">
        <f t="shared" si="0"/>
        <v>13.679282088501045</v>
      </c>
      <c r="F24" s="97">
        <f t="shared" si="3"/>
        <v>2899.1915600000007</v>
      </c>
      <c r="G24" s="97">
        <f t="shared" si="10"/>
        <v>13.679282088501045</v>
      </c>
      <c r="H24" s="98">
        <v>2064.595988965106</v>
      </c>
      <c r="I24" s="71">
        <f>H24/$H$50*1000</f>
        <v>13.679282088501044</v>
      </c>
      <c r="J24" s="72">
        <f t="shared" si="13"/>
        <v>1</v>
      </c>
      <c r="K24" s="71">
        <f>H24</f>
        <v>2064.595988965106</v>
      </c>
      <c r="L24" s="71">
        <f t="shared" si="4"/>
        <v>13.679282088501044</v>
      </c>
      <c r="M24" s="98">
        <v>690.2030881927966</v>
      </c>
      <c r="N24" s="71">
        <f t="shared" si="7"/>
        <v>13.679282088501044</v>
      </c>
      <c r="O24" s="72">
        <f t="shared" si="14"/>
        <v>1</v>
      </c>
      <c r="P24" s="71">
        <f>M24</f>
        <v>690.2030881927966</v>
      </c>
      <c r="Q24" s="71">
        <f t="shared" si="8"/>
        <v>13.679282088501044</v>
      </c>
      <c r="R24" s="98">
        <v>144.39248284209808</v>
      </c>
      <c r="S24" s="71">
        <f t="shared" si="11"/>
        <v>13.679282088501044</v>
      </c>
      <c r="T24" s="72">
        <f t="shared" si="15"/>
        <v>1</v>
      </c>
      <c r="U24" s="71">
        <f>R24</f>
        <v>144.39248284209808</v>
      </c>
      <c r="V24" s="71">
        <f t="shared" si="12"/>
        <v>13.679282088501044</v>
      </c>
      <c r="W24" s="77">
        <v>470.75</v>
      </c>
      <c r="X24" s="74">
        <v>7.68</v>
      </c>
      <c r="Y24" s="73">
        <v>400.69</v>
      </c>
      <c r="Z24" s="74">
        <v>7.68</v>
      </c>
      <c r="AA24" s="73">
        <v>55.56</v>
      </c>
      <c r="AB24" s="76">
        <v>7.68</v>
      </c>
      <c r="AC24" s="73">
        <v>14.5</v>
      </c>
      <c r="AD24" s="76">
        <v>7.68</v>
      </c>
      <c r="AE24" s="35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</row>
    <row r="25" spans="1:110" s="43" customFormat="1" ht="16.5" customHeight="1">
      <c r="A25" s="37" t="s">
        <v>31</v>
      </c>
      <c r="B25" s="44" t="s">
        <v>30</v>
      </c>
      <c r="C25" s="70" t="s">
        <v>79</v>
      </c>
      <c r="D25" s="97">
        <f t="shared" si="2"/>
        <v>563.73589</v>
      </c>
      <c r="E25" s="97">
        <f t="shared" si="0"/>
        <v>2.6598802125107577</v>
      </c>
      <c r="F25" s="97">
        <f t="shared" si="3"/>
        <v>563.73589</v>
      </c>
      <c r="G25" s="97">
        <f t="shared" si="10"/>
        <v>2.6598802125107577</v>
      </c>
      <c r="H25" s="98">
        <v>401.45220943236814</v>
      </c>
      <c r="I25" s="71">
        <f>H25/$H$50*1000</f>
        <v>2.6598802125107577</v>
      </c>
      <c r="J25" s="72">
        <f t="shared" si="13"/>
        <v>1</v>
      </c>
      <c r="K25" s="71">
        <f>H25</f>
        <v>401.45220943236814</v>
      </c>
      <c r="L25" s="71">
        <f t="shared" si="4"/>
        <v>2.6598802125107577</v>
      </c>
      <c r="M25" s="98">
        <v>134.2071553916619</v>
      </c>
      <c r="N25" s="71">
        <f t="shared" si="7"/>
        <v>2.6598802125107577</v>
      </c>
      <c r="O25" s="72">
        <f t="shared" si="14"/>
        <v>1</v>
      </c>
      <c r="P25" s="71">
        <f>M25</f>
        <v>134.2071553916619</v>
      </c>
      <c r="Q25" s="71">
        <f t="shared" si="8"/>
        <v>2.6598802125107577</v>
      </c>
      <c r="R25" s="98">
        <v>28.07652517597005</v>
      </c>
      <c r="S25" s="71">
        <f t="shared" si="11"/>
        <v>2.6598802125107577</v>
      </c>
      <c r="T25" s="72">
        <f t="shared" si="15"/>
        <v>1</v>
      </c>
      <c r="U25" s="71">
        <f>R25</f>
        <v>28.07652517597005</v>
      </c>
      <c r="V25" s="71">
        <f t="shared" si="12"/>
        <v>2.6598802125107577</v>
      </c>
      <c r="W25" s="77">
        <v>455.67</v>
      </c>
      <c r="X25" s="74">
        <v>7.43</v>
      </c>
      <c r="Y25" s="73">
        <v>387.85</v>
      </c>
      <c r="Z25" s="74">
        <v>7.43</v>
      </c>
      <c r="AA25" s="73">
        <v>53.78</v>
      </c>
      <c r="AB25" s="76">
        <v>7.43</v>
      </c>
      <c r="AC25" s="73">
        <v>14.04</v>
      </c>
      <c r="AD25" s="76">
        <v>7.43</v>
      </c>
      <c r="AE25" s="35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</row>
    <row r="26" spans="1:110" s="43" customFormat="1" ht="16.5" customHeight="1">
      <c r="A26" s="37" t="s">
        <v>94</v>
      </c>
      <c r="B26" s="44" t="s">
        <v>32</v>
      </c>
      <c r="C26" s="70" t="s">
        <v>79</v>
      </c>
      <c r="D26" s="97">
        <f t="shared" si="2"/>
        <v>1030.443836</v>
      </c>
      <c r="E26" s="97">
        <f t="shared" si="0"/>
        <v>4.861952588259157</v>
      </c>
      <c r="F26" s="97">
        <f t="shared" si="3"/>
        <v>1030.443836</v>
      </c>
      <c r="G26" s="97">
        <f t="shared" si="10"/>
        <v>4.861952588259157</v>
      </c>
      <c r="H26" s="98">
        <v>733.8080863685382</v>
      </c>
      <c r="I26" s="71">
        <f>H26/$H$50*1000</f>
        <v>4.861952588259157</v>
      </c>
      <c r="J26" s="72">
        <f t="shared" si="13"/>
        <v>1</v>
      </c>
      <c r="K26" s="71">
        <f>H26</f>
        <v>733.8080863685382</v>
      </c>
      <c r="L26" s="71">
        <f t="shared" si="4"/>
        <v>4.861952588259157</v>
      </c>
      <c r="M26" s="98">
        <v>245.315117368937</v>
      </c>
      <c r="N26" s="71">
        <f t="shared" si="7"/>
        <v>4.861952588259157</v>
      </c>
      <c r="O26" s="72">
        <f t="shared" si="14"/>
        <v>1</v>
      </c>
      <c r="P26" s="71">
        <f>M26</f>
        <v>245.315117368937</v>
      </c>
      <c r="Q26" s="71">
        <f t="shared" si="8"/>
        <v>4.861952588259157</v>
      </c>
      <c r="R26" s="98">
        <v>51.32063226252483</v>
      </c>
      <c r="S26" s="71">
        <f t="shared" si="11"/>
        <v>4.861952588259157</v>
      </c>
      <c r="T26" s="72">
        <f t="shared" si="15"/>
        <v>1</v>
      </c>
      <c r="U26" s="71">
        <f>R26</f>
        <v>51.32063226252483</v>
      </c>
      <c r="V26" s="71">
        <f t="shared" si="12"/>
        <v>4.861952588259157</v>
      </c>
      <c r="W26" s="77">
        <v>250.01</v>
      </c>
      <c r="X26" s="74">
        <v>4.08</v>
      </c>
      <c r="Y26" s="73">
        <v>212.8</v>
      </c>
      <c r="Z26" s="74">
        <v>4.08</v>
      </c>
      <c r="AA26" s="73">
        <v>29.51</v>
      </c>
      <c r="AB26" s="76">
        <v>4.08</v>
      </c>
      <c r="AC26" s="73">
        <v>7.7</v>
      </c>
      <c r="AD26" s="76">
        <v>4.08</v>
      </c>
      <c r="AE26" s="35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</row>
    <row r="27" spans="1:31" s="36" customFormat="1" ht="18" customHeight="1">
      <c r="A27" s="19" t="s">
        <v>33</v>
      </c>
      <c r="B27" s="63" t="s">
        <v>34</v>
      </c>
      <c r="C27" s="64" t="s">
        <v>79</v>
      </c>
      <c r="D27" s="96">
        <f t="shared" si="2"/>
        <v>812.34161</v>
      </c>
      <c r="E27" s="96">
        <f t="shared" si="0"/>
        <v>3.832878857931381</v>
      </c>
      <c r="F27" s="96">
        <f t="shared" si="3"/>
        <v>812.34161</v>
      </c>
      <c r="G27" s="96">
        <f t="shared" si="10"/>
        <v>3.832878857931381</v>
      </c>
      <c r="H27" s="65">
        <f>SUM(H28:H30)</f>
        <v>578.4913466274909</v>
      </c>
      <c r="I27" s="65">
        <f>SUM(I28:I30)</f>
        <v>3.832878857931381</v>
      </c>
      <c r="J27" s="66">
        <f t="shared" si="13"/>
        <v>1</v>
      </c>
      <c r="K27" s="65">
        <f>SUM(K28:K30)</f>
        <v>578.4913466274909</v>
      </c>
      <c r="L27" s="65">
        <f t="shared" si="4"/>
        <v>3.8328788579313815</v>
      </c>
      <c r="M27" s="65">
        <f>SUM(M28:M30)</f>
        <v>193.39208061488296</v>
      </c>
      <c r="N27" s="65">
        <f t="shared" si="7"/>
        <v>3.832878857931381</v>
      </c>
      <c r="O27" s="66">
        <f t="shared" si="14"/>
        <v>1</v>
      </c>
      <c r="P27" s="65">
        <f>SUM(P28:P30)</f>
        <v>193.39208061488296</v>
      </c>
      <c r="Q27" s="65">
        <f t="shared" si="8"/>
        <v>3.832878857931381</v>
      </c>
      <c r="R27" s="65">
        <f>SUM(R28:R30)</f>
        <v>40.45818275762616</v>
      </c>
      <c r="S27" s="65">
        <f t="shared" si="11"/>
        <v>3.8328788579313806</v>
      </c>
      <c r="T27" s="66">
        <f t="shared" si="15"/>
        <v>1</v>
      </c>
      <c r="U27" s="65">
        <f>SUM(U28:U30)</f>
        <v>40.45818275762616</v>
      </c>
      <c r="V27" s="65">
        <f t="shared" si="12"/>
        <v>3.8328788579313806</v>
      </c>
      <c r="W27" s="86">
        <v>0</v>
      </c>
      <c r="X27" s="68">
        <v>0</v>
      </c>
      <c r="Y27" s="69">
        <v>0</v>
      </c>
      <c r="Z27" s="68">
        <v>0</v>
      </c>
      <c r="AA27" s="69">
        <v>0</v>
      </c>
      <c r="AB27" s="68">
        <v>0</v>
      </c>
      <c r="AC27" s="69">
        <v>0</v>
      </c>
      <c r="AD27" s="68">
        <v>0</v>
      </c>
      <c r="AE27" s="35"/>
    </row>
    <row r="28" spans="1:110" s="43" customFormat="1" ht="16.5" customHeight="1">
      <c r="A28" s="37" t="s">
        <v>35</v>
      </c>
      <c r="B28" s="44" t="s">
        <v>44</v>
      </c>
      <c r="C28" s="70" t="s">
        <v>79</v>
      </c>
      <c r="D28" s="97">
        <f t="shared" si="2"/>
        <v>517.9923872779992</v>
      </c>
      <c r="E28" s="97">
        <f t="shared" si="0"/>
        <v>2.44404822469607</v>
      </c>
      <c r="F28" s="97">
        <f t="shared" si="3"/>
        <v>517.9923872779992</v>
      </c>
      <c r="G28" s="97">
        <f t="shared" si="10"/>
        <v>2.44404822469607</v>
      </c>
      <c r="H28" s="98">
        <v>368.87697240972125</v>
      </c>
      <c r="I28" s="71">
        <f>H28/$H$50*1000</f>
        <v>2.44404822469607</v>
      </c>
      <c r="J28" s="72">
        <f t="shared" si="13"/>
        <v>1</v>
      </c>
      <c r="K28" s="71">
        <f>H28</f>
        <v>368.87697240972125</v>
      </c>
      <c r="L28" s="71">
        <f t="shared" si="4"/>
        <v>2.44404822469607</v>
      </c>
      <c r="M28" s="98">
        <v>123.31711718960513</v>
      </c>
      <c r="N28" s="71">
        <f t="shared" si="7"/>
        <v>2.44404822469607</v>
      </c>
      <c r="O28" s="72">
        <f t="shared" si="14"/>
        <v>1</v>
      </c>
      <c r="P28" s="71">
        <f>M28</f>
        <v>123.31711718960513</v>
      </c>
      <c r="Q28" s="71">
        <f t="shared" si="8"/>
        <v>2.44404822469607</v>
      </c>
      <c r="R28" s="98">
        <v>25.79829767867285</v>
      </c>
      <c r="S28" s="71">
        <f t="shared" si="11"/>
        <v>2.44404822469607</v>
      </c>
      <c r="T28" s="72">
        <f t="shared" si="15"/>
        <v>1</v>
      </c>
      <c r="U28" s="71">
        <f>R28</f>
        <v>25.79829767867285</v>
      </c>
      <c r="V28" s="71">
        <f t="shared" si="12"/>
        <v>2.44404822469607</v>
      </c>
      <c r="W28" s="77">
        <v>0</v>
      </c>
      <c r="X28" s="74">
        <v>0</v>
      </c>
      <c r="Y28" s="75">
        <v>0</v>
      </c>
      <c r="Z28" s="74">
        <v>0</v>
      </c>
      <c r="AA28" s="75">
        <v>0</v>
      </c>
      <c r="AB28" s="76">
        <v>0</v>
      </c>
      <c r="AC28" s="75">
        <v>0</v>
      </c>
      <c r="AD28" s="76">
        <v>0</v>
      </c>
      <c r="AE28" s="35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</row>
    <row r="29" spans="1:110" s="43" customFormat="1" ht="16.5" customHeight="1">
      <c r="A29" s="37" t="s">
        <v>37</v>
      </c>
      <c r="B29" s="44" t="s">
        <v>46</v>
      </c>
      <c r="C29" s="70" t="s">
        <v>79</v>
      </c>
      <c r="D29" s="97">
        <f t="shared" si="2"/>
        <v>191.96797838663284</v>
      </c>
      <c r="E29" s="97">
        <f t="shared" si="0"/>
        <v>0.9057642704747739</v>
      </c>
      <c r="F29" s="97">
        <f t="shared" si="3"/>
        <v>191.96797838663284</v>
      </c>
      <c r="G29" s="97">
        <f t="shared" si="10"/>
        <v>0.9057642704747739</v>
      </c>
      <c r="H29" s="98">
        <v>136.7058057339206</v>
      </c>
      <c r="I29" s="71">
        <f>H29/$H$50*1000</f>
        <v>0.905764270474774</v>
      </c>
      <c r="J29" s="72">
        <f t="shared" si="13"/>
        <v>1</v>
      </c>
      <c r="K29" s="71">
        <f>H29</f>
        <v>136.7058057339206</v>
      </c>
      <c r="L29" s="71">
        <f t="shared" si="4"/>
        <v>0.905764270474774</v>
      </c>
      <c r="M29" s="98">
        <v>45.70132354985954</v>
      </c>
      <c r="N29" s="71">
        <f t="shared" si="7"/>
        <v>0.905764270474774</v>
      </c>
      <c r="O29" s="72">
        <f t="shared" si="14"/>
        <v>1</v>
      </c>
      <c r="P29" s="71">
        <f>M29</f>
        <v>45.70132354985954</v>
      </c>
      <c r="Q29" s="71">
        <f t="shared" si="8"/>
        <v>0.905764270474774</v>
      </c>
      <c r="R29" s="98">
        <v>9.560849102852705</v>
      </c>
      <c r="S29" s="71">
        <f t="shared" si="11"/>
        <v>0.905764270474774</v>
      </c>
      <c r="T29" s="72">
        <f t="shared" si="15"/>
        <v>1</v>
      </c>
      <c r="U29" s="71">
        <f>R29</f>
        <v>9.560849102852705</v>
      </c>
      <c r="V29" s="71">
        <f t="shared" si="12"/>
        <v>0.905764270474774</v>
      </c>
      <c r="W29" s="77">
        <v>0</v>
      </c>
      <c r="X29" s="74">
        <v>0</v>
      </c>
      <c r="Y29" s="75">
        <v>0</v>
      </c>
      <c r="Z29" s="74">
        <v>0</v>
      </c>
      <c r="AA29" s="75">
        <v>0</v>
      </c>
      <c r="AB29" s="76">
        <v>0</v>
      </c>
      <c r="AC29" s="75">
        <v>0</v>
      </c>
      <c r="AD29" s="76">
        <v>0</v>
      </c>
      <c r="AE29" s="35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</row>
    <row r="30" spans="1:110" s="43" customFormat="1" ht="16.5" customHeight="1">
      <c r="A30" s="37" t="s">
        <v>95</v>
      </c>
      <c r="B30" s="44" t="s">
        <v>38</v>
      </c>
      <c r="C30" s="70" t="s">
        <v>79</v>
      </c>
      <c r="D30" s="97">
        <f t="shared" si="2"/>
        <v>102.38124433536788</v>
      </c>
      <c r="E30" s="97">
        <f t="shared" si="0"/>
        <v>0.4830663627605368</v>
      </c>
      <c r="F30" s="97">
        <f t="shared" si="3"/>
        <v>102.38124433536788</v>
      </c>
      <c r="G30" s="97">
        <f t="shared" si="10"/>
        <v>0.4830663627605368</v>
      </c>
      <c r="H30" s="98">
        <v>72.90856848384898</v>
      </c>
      <c r="I30" s="71">
        <f>H30/$H$50*1000</f>
        <v>0.4830663627605369</v>
      </c>
      <c r="J30" s="72">
        <f t="shared" si="13"/>
        <v>1</v>
      </c>
      <c r="K30" s="71">
        <f>H30</f>
        <v>72.90856848384898</v>
      </c>
      <c r="L30" s="71">
        <f t="shared" si="4"/>
        <v>0.4830663627605369</v>
      </c>
      <c r="M30" s="98">
        <v>24.37363987541829</v>
      </c>
      <c r="N30" s="71">
        <f t="shared" si="7"/>
        <v>0.4830663627605368</v>
      </c>
      <c r="O30" s="72">
        <f t="shared" si="14"/>
        <v>1</v>
      </c>
      <c r="P30" s="71">
        <f>M30</f>
        <v>24.37363987541829</v>
      </c>
      <c r="Q30" s="71">
        <f t="shared" si="8"/>
        <v>0.4830663627605368</v>
      </c>
      <c r="R30" s="98">
        <v>5.099035976100612</v>
      </c>
      <c r="S30" s="71">
        <f t="shared" si="11"/>
        <v>0.4830663627605368</v>
      </c>
      <c r="T30" s="72">
        <f t="shared" si="15"/>
        <v>1</v>
      </c>
      <c r="U30" s="71">
        <f>R30</f>
        <v>5.099035976100612</v>
      </c>
      <c r="V30" s="71">
        <f t="shared" si="12"/>
        <v>0.4830663627605368</v>
      </c>
      <c r="W30" s="77">
        <v>0</v>
      </c>
      <c r="X30" s="74">
        <v>0</v>
      </c>
      <c r="Y30" s="75">
        <v>0</v>
      </c>
      <c r="Z30" s="74">
        <v>0</v>
      </c>
      <c r="AA30" s="75">
        <v>0</v>
      </c>
      <c r="AB30" s="76">
        <v>0</v>
      </c>
      <c r="AC30" s="75">
        <v>0</v>
      </c>
      <c r="AD30" s="76">
        <v>0</v>
      </c>
      <c r="AE30" s="35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</row>
    <row r="31" spans="1:31" s="36" customFormat="1" ht="16.5" customHeight="1">
      <c r="A31" s="19" t="s">
        <v>39</v>
      </c>
      <c r="B31" s="63" t="s">
        <v>40</v>
      </c>
      <c r="C31" s="64" t="s">
        <v>79</v>
      </c>
      <c r="D31" s="96">
        <f t="shared" si="2"/>
        <v>2780.71382</v>
      </c>
      <c r="E31" s="96">
        <f t="shared" si="0"/>
        <v>13.120267482833496</v>
      </c>
      <c r="F31" s="96">
        <f t="shared" si="3"/>
        <v>2780.71382</v>
      </c>
      <c r="G31" s="96">
        <f t="shared" si="10"/>
        <v>13.120267482833496</v>
      </c>
      <c r="H31" s="65">
        <f>SUM(H32:H34)</f>
        <v>1980.2246524309817</v>
      </c>
      <c r="I31" s="65">
        <f>SUM(I32:I34)</f>
        <v>13.120267482833494</v>
      </c>
      <c r="J31" s="66">
        <f t="shared" si="13"/>
        <v>1</v>
      </c>
      <c r="K31" s="65">
        <f>SUM(K32:K34)</f>
        <v>1980.2246524309817</v>
      </c>
      <c r="L31" s="65">
        <f t="shared" si="4"/>
        <v>13.120267482833494</v>
      </c>
      <c r="M31" s="65">
        <f>SUM(M32:M34)</f>
        <v>661.9973969379201</v>
      </c>
      <c r="N31" s="65">
        <f t="shared" si="7"/>
        <v>13.120267482833494</v>
      </c>
      <c r="O31" s="66">
        <f t="shared" si="14"/>
        <v>1</v>
      </c>
      <c r="P31" s="65">
        <f>SUM(P32:P34)</f>
        <v>661.9973969379201</v>
      </c>
      <c r="Q31" s="65">
        <f t="shared" si="8"/>
        <v>13.120267482833494</v>
      </c>
      <c r="R31" s="65">
        <f>SUM(R32:R34)</f>
        <v>138.49177063109792</v>
      </c>
      <c r="S31" s="65">
        <f t="shared" si="11"/>
        <v>13.120267482833496</v>
      </c>
      <c r="T31" s="66">
        <f t="shared" si="15"/>
        <v>1</v>
      </c>
      <c r="U31" s="65">
        <f>SUM(U32:U34)</f>
        <v>138.49177063109792</v>
      </c>
      <c r="V31" s="65">
        <f t="shared" si="12"/>
        <v>13.120267482833496</v>
      </c>
      <c r="W31" s="86">
        <v>936.23</v>
      </c>
      <c r="X31" s="68">
        <v>15.27</v>
      </c>
      <c r="Y31" s="69">
        <v>796.89</v>
      </c>
      <c r="Z31" s="68">
        <v>15.27</v>
      </c>
      <c r="AA31" s="69">
        <v>110.5</v>
      </c>
      <c r="AB31" s="68">
        <v>15.27</v>
      </c>
      <c r="AC31" s="69">
        <v>28.85</v>
      </c>
      <c r="AD31" s="68">
        <v>15.27</v>
      </c>
      <c r="AE31" s="35"/>
    </row>
    <row r="32" spans="1:110" s="43" customFormat="1" ht="16.5" customHeight="1">
      <c r="A32" s="37" t="s">
        <v>41</v>
      </c>
      <c r="B32" s="44" t="s">
        <v>44</v>
      </c>
      <c r="C32" s="70" t="s">
        <v>79</v>
      </c>
      <c r="D32" s="97">
        <f t="shared" si="2"/>
        <v>1858.7065539958742</v>
      </c>
      <c r="E32" s="97">
        <f t="shared" si="0"/>
        <v>8.76995215585384</v>
      </c>
      <c r="F32" s="97">
        <f t="shared" si="3"/>
        <v>1858.7065539958742</v>
      </c>
      <c r="G32" s="97">
        <f t="shared" si="10"/>
        <v>8.76995215585384</v>
      </c>
      <c r="H32" s="98">
        <v>1323.6373025461742</v>
      </c>
      <c r="I32" s="71">
        <f aca="true" t="shared" si="16" ref="I32:I47">H32/$H$50*1000</f>
        <v>8.76995215585384</v>
      </c>
      <c r="J32" s="72">
        <f t="shared" si="13"/>
        <v>1</v>
      </c>
      <c r="K32" s="71">
        <f>H32</f>
        <v>1323.6373025461742</v>
      </c>
      <c r="L32" s="71">
        <f t="shared" si="4"/>
        <v>8.76995215585384</v>
      </c>
      <c r="M32" s="98">
        <v>442.4974952714553</v>
      </c>
      <c r="N32" s="71">
        <f t="shared" si="7"/>
        <v>8.76995215585384</v>
      </c>
      <c r="O32" s="72">
        <f t="shared" si="14"/>
        <v>1</v>
      </c>
      <c r="P32" s="71">
        <f>M32</f>
        <v>442.4974952714553</v>
      </c>
      <c r="Q32" s="71">
        <f t="shared" si="8"/>
        <v>8.76995215585384</v>
      </c>
      <c r="R32" s="98">
        <v>92.57175617824456</v>
      </c>
      <c r="S32" s="71">
        <f t="shared" si="11"/>
        <v>8.76995215585384</v>
      </c>
      <c r="T32" s="72">
        <f t="shared" si="15"/>
        <v>1</v>
      </c>
      <c r="U32" s="71">
        <f>R32</f>
        <v>92.57175617824456</v>
      </c>
      <c r="V32" s="71">
        <f t="shared" si="12"/>
        <v>8.76995215585384</v>
      </c>
      <c r="W32" s="77">
        <v>577.83</v>
      </c>
      <c r="X32" s="74">
        <v>9.43</v>
      </c>
      <c r="Y32" s="75">
        <v>491.83</v>
      </c>
      <c r="Z32" s="74">
        <v>9.43</v>
      </c>
      <c r="AA32" s="75">
        <v>68.2</v>
      </c>
      <c r="AB32" s="76">
        <v>9.43</v>
      </c>
      <c r="AC32" s="75">
        <v>17.8</v>
      </c>
      <c r="AD32" s="76">
        <v>9.43</v>
      </c>
      <c r="AE32" s="35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</row>
    <row r="33" spans="1:110" s="43" customFormat="1" ht="16.5" customHeight="1">
      <c r="A33" s="37" t="s">
        <v>42</v>
      </c>
      <c r="B33" s="44" t="s">
        <v>46</v>
      </c>
      <c r="C33" s="70" t="s">
        <v>79</v>
      </c>
      <c r="D33" s="97">
        <f t="shared" si="2"/>
        <v>688.8366518363197</v>
      </c>
      <c r="E33" s="97">
        <f t="shared" si="0"/>
        <v>3.2501442827626046</v>
      </c>
      <c r="F33" s="97">
        <f t="shared" si="3"/>
        <v>688.8366518363197</v>
      </c>
      <c r="G33" s="97">
        <f t="shared" si="10"/>
        <v>3.2501442827626046</v>
      </c>
      <c r="H33" s="98">
        <v>490.5399864069067</v>
      </c>
      <c r="I33" s="71">
        <f t="shared" si="16"/>
        <v>3.250144282762605</v>
      </c>
      <c r="J33" s="72">
        <f t="shared" si="13"/>
        <v>1</v>
      </c>
      <c r="K33" s="71">
        <f>H33</f>
        <v>490.5399864069067</v>
      </c>
      <c r="L33" s="71">
        <f t="shared" si="4"/>
        <v>3.250144282762605</v>
      </c>
      <c r="M33" s="98">
        <v>163.98957244405543</v>
      </c>
      <c r="N33" s="71">
        <f t="shared" si="7"/>
        <v>3.250144282762605</v>
      </c>
      <c r="O33" s="72">
        <f t="shared" si="14"/>
        <v>1</v>
      </c>
      <c r="P33" s="71">
        <f>M33</f>
        <v>163.98957244405543</v>
      </c>
      <c r="Q33" s="71">
        <f t="shared" si="8"/>
        <v>3.250144282762605</v>
      </c>
      <c r="R33" s="98">
        <v>34.30709298535764</v>
      </c>
      <c r="S33" s="71">
        <f t="shared" si="11"/>
        <v>3.250144282762605</v>
      </c>
      <c r="T33" s="72">
        <f t="shared" si="15"/>
        <v>1</v>
      </c>
      <c r="U33" s="71">
        <f>R33</f>
        <v>34.30709298535764</v>
      </c>
      <c r="V33" s="71">
        <f t="shared" si="12"/>
        <v>3.250144282762605</v>
      </c>
      <c r="W33" s="77">
        <v>214.14</v>
      </c>
      <c r="X33" s="74">
        <v>3.49</v>
      </c>
      <c r="Y33" s="75">
        <v>182.27</v>
      </c>
      <c r="Z33" s="74">
        <v>3.49</v>
      </c>
      <c r="AA33" s="75">
        <v>25.27</v>
      </c>
      <c r="AB33" s="76">
        <v>3.49</v>
      </c>
      <c r="AC33" s="75">
        <v>6.6</v>
      </c>
      <c r="AD33" s="76">
        <v>3.49</v>
      </c>
      <c r="AE33" s="35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</row>
    <row r="34" spans="1:110" s="43" customFormat="1" ht="16.5" customHeight="1">
      <c r="A34" s="37" t="s">
        <v>96</v>
      </c>
      <c r="B34" s="44" t="s">
        <v>38</v>
      </c>
      <c r="C34" s="70" t="s">
        <v>79</v>
      </c>
      <c r="D34" s="97">
        <f t="shared" si="2"/>
        <v>233.17061416780598</v>
      </c>
      <c r="E34" s="97">
        <f t="shared" si="0"/>
        <v>1.1001710442170491</v>
      </c>
      <c r="F34" s="97">
        <f t="shared" si="3"/>
        <v>233.17061416780598</v>
      </c>
      <c r="G34" s="97">
        <f t="shared" si="10"/>
        <v>1.1001710442170491</v>
      </c>
      <c r="H34" s="98">
        <v>166.04736347790086</v>
      </c>
      <c r="I34" s="71">
        <f t="shared" si="16"/>
        <v>1.1001710442170491</v>
      </c>
      <c r="J34" s="72">
        <f t="shared" si="13"/>
        <v>1</v>
      </c>
      <c r="K34" s="71">
        <f>H34</f>
        <v>166.04736347790086</v>
      </c>
      <c r="L34" s="71">
        <f t="shared" si="4"/>
        <v>1.1001710442170491</v>
      </c>
      <c r="M34" s="98">
        <v>55.5103292224094</v>
      </c>
      <c r="N34" s="71">
        <f t="shared" si="7"/>
        <v>1.1001710442170491</v>
      </c>
      <c r="O34" s="72">
        <f t="shared" si="14"/>
        <v>1</v>
      </c>
      <c r="P34" s="71">
        <f>M34</f>
        <v>55.5103292224094</v>
      </c>
      <c r="Q34" s="71">
        <f t="shared" si="8"/>
        <v>1.1001710442170491</v>
      </c>
      <c r="R34" s="98">
        <v>11.612921467495715</v>
      </c>
      <c r="S34" s="71">
        <f t="shared" si="11"/>
        <v>1.1001710442170491</v>
      </c>
      <c r="T34" s="72">
        <f t="shared" si="15"/>
        <v>1</v>
      </c>
      <c r="U34" s="71">
        <f>R34</f>
        <v>11.612921467495715</v>
      </c>
      <c r="V34" s="71">
        <f t="shared" si="12"/>
        <v>1.1001710442170491</v>
      </c>
      <c r="W34" s="77">
        <v>144.26</v>
      </c>
      <c r="X34" s="74">
        <v>2.35</v>
      </c>
      <c r="Y34" s="75">
        <v>122.79</v>
      </c>
      <c r="Z34" s="74">
        <v>2.35</v>
      </c>
      <c r="AA34" s="75">
        <v>17.03</v>
      </c>
      <c r="AB34" s="76">
        <v>2.35</v>
      </c>
      <c r="AC34" s="75">
        <v>4.44</v>
      </c>
      <c r="AD34" s="76">
        <v>2.35</v>
      </c>
      <c r="AE34" s="35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</row>
    <row r="35" spans="1:31" s="36" customFormat="1" ht="16.5" customHeight="1">
      <c r="A35" s="19">
        <v>3</v>
      </c>
      <c r="B35" s="63" t="s">
        <v>97</v>
      </c>
      <c r="C35" s="64" t="s">
        <v>79</v>
      </c>
      <c r="D35" s="96">
        <f t="shared" si="2"/>
        <v>0</v>
      </c>
      <c r="E35" s="96">
        <f t="shared" si="0"/>
        <v>0</v>
      </c>
      <c r="F35" s="96">
        <f t="shared" si="3"/>
        <v>0</v>
      </c>
      <c r="G35" s="96">
        <f t="shared" si="10"/>
        <v>0</v>
      </c>
      <c r="H35" s="65">
        <f>SUM(H36:H38)</f>
        <v>0</v>
      </c>
      <c r="I35" s="65">
        <f t="shared" si="16"/>
        <v>0</v>
      </c>
      <c r="J35" s="66">
        <f t="shared" si="13"/>
        <v>0</v>
      </c>
      <c r="K35" s="65">
        <f>SUM(K36:K38)</f>
        <v>0</v>
      </c>
      <c r="L35" s="65">
        <f t="shared" si="4"/>
        <v>0</v>
      </c>
      <c r="M35" s="65">
        <f>SUM(M36:M38)</f>
        <v>0</v>
      </c>
      <c r="N35" s="65">
        <f t="shared" si="7"/>
        <v>0</v>
      </c>
      <c r="O35" s="66">
        <f t="shared" si="14"/>
        <v>0</v>
      </c>
      <c r="P35" s="65">
        <f>SUM(P36:P38)</f>
        <v>0</v>
      </c>
      <c r="Q35" s="65">
        <f t="shared" si="8"/>
        <v>0</v>
      </c>
      <c r="R35" s="65">
        <f>SUM(R36:R38)</f>
        <v>0</v>
      </c>
      <c r="S35" s="65">
        <f t="shared" si="11"/>
        <v>0</v>
      </c>
      <c r="T35" s="66">
        <f t="shared" si="15"/>
        <v>0</v>
      </c>
      <c r="U35" s="65">
        <f>SUM(U36:U38)</f>
        <v>0</v>
      </c>
      <c r="V35" s="65">
        <f t="shared" si="12"/>
        <v>0</v>
      </c>
      <c r="W35" s="86">
        <v>0</v>
      </c>
      <c r="X35" s="68">
        <v>0</v>
      </c>
      <c r="Y35" s="69">
        <v>0</v>
      </c>
      <c r="Z35" s="68">
        <v>0</v>
      </c>
      <c r="AA35" s="69">
        <v>0</v>
      </c>
      <c r="AB35" s="68">
        <v>0</v>
      </c>
      <c r="AC35" s="69">
        <v>0</v>
      </c>
      <c r="AD35" s="68">
        <v>0</v>
      </c>
      <c r="AE35" s="35"/>
    </row>
    <row r="36" spans="1:110" ht="16.5" customHeight="1" hidden="1">
      <c r="A36" s="37" t="s">
        <v>43</v>
      </c>
      <c r="B36" s="44" t="s">
        <v>44</v>
      </c>
      <c r="C36" s="70" t="s">
        <v>79</v>
      </c>
      <c r="D36" s="97">
        <f t="shared" si="2"/>
        <v>0</v>
      </c>
      <c r="E36" s="97">
        <f t="shared" si="0"/>
        <v>0</v>
      </c>
      <c r="F36" s="97">
        <f t="shared" si="3"/>
        <v>0</v>
      </c>
      <c r="G36" s="97">
        <f t="shared" si="10"/>
        <v>0</v>
      </c>
      <c r="H36" s="65">
        <v>0</v>
      </c>
      <c r="I36" s="65">
        <f t="shared" si="16"/>
        <v>0</v>
      </c>
      <c r="J36" s="66">
        <f t="shared" si="13"/>
        <v>0</v>
      </c>
      <c r="K36" s="65">
        <v>0</v>
      </c>
      <c r="L36" s="65">
        <f t="shared" si="4"/>
        <v>0</v>
      </c>
      <c r="M36" s="65">
        <v>0</v>
      </c>
      <c r="N36" s="65">
        <f t="shared" si="7"/>
        <v>0</v>
      </c>
      <c r="O36" s="66">
        <f t="shared" si="14"/>
        <v>0</v>
      </c>
      <c r="P36" s="65">
        <v>0</v>
      </c>
      <c r="Q36" s="65">
        <f t="shared" si="8"/>
        <v>0</v>
      </c>
      <c r="R36" s="65">
        <v>0</v>
      </c>
      <c r="S36" s="65">
        <f t="shared" si="11"/>
        <v>0</v>
      </c>
      <c r="T36" s="66">
        <f t="shared" si="15"/>
        <v>0</v>
      </c>
      <c r="U36" s="65">
        <v>0</v>
      </c>
      <c r="V36" s="65">
        <f t="shared" si="12"/>
        <v>0</v>
      </c>
      <c r="W36" s="77">
        <v>0</v>
      </c>
      <c r="X36" s="74">
        <v>0</v>
      </c>
      <c r="Y36" s="75">
        <v>0</v>
      </c>
      <c r="Z36" s="74">
        <v>0</v>
      </c>
      <c r="AA36" s="75">
        <v>0</v>
      </c>
      <c r="AB36" s="76">
        <v>0</v>
      </c>
      <c r="AC36" s="75">
        <v>0</v>
      </c>
      <c r="AD36" s="76">
        <v>0</v>
      </c>
      <c r="AE36" s="35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</row>
    <row r="37" spans="1:110" ht="16.5" customHeight="1" hidden="1">
      <c r="A37" s="37" t="s">
        <v>45</v>
      </c>
      <c r="B37" s="44" t="s">
        <v>46</v>
      </c>
      <c r="C37" s="70" t="s">
        <v>79</v>
      </c>
      <c r="D37" s="97">
        <f t="shared" si="2"/>
        <v>0</v>
      </c>
      <c r="E37" s="97">
        <f t="shared" si="0"/>
        <v>0</v>
      </c>
      <c r="F37" s="97">
        <f t="shared" si="3"/>
        <v>0</v>
      </c>
      <c r="G37" s="97">
        <f t="shared" si="10"/>
        <v>0</v>
      </c>
      <c r="H37" s="65">
        <v>0</v>
      </c>
      <c r="I37" s="65">
        <f t="shared" si="16"/>
        <v>0</v>
      </c>
      <c r="J37" s="66">
        <f t="shared" si="13"/>
        <v>0</v>
      </c>
      <c r="K37" s="65">
        <v>0</v>
      </c>
      <c r="L37" s="65">
        <f t="shared" si="4"/>
        <v>0</v>
      </c>
      <c r="M37" s="65">
        <v>0</v>
      </c>
      <c r="N37" s="65">
        <f t="shared" si="7"/>
        <v>0</v>
      </c>
      <c r="O37" s="66">
        <f t="shared" si="14"/>
        <v>0</v>
      </c>
      <c r="P37" s="65">
        <v>0</v>
      </c>
      <c r="Q37" s="65">
        <f t="shared" si="8"/>
        <v>0</v>
      </c>
      <c r="R37" s="65">
        <v>0</v>
      </c>
      <c r="S37" s="65">
        <f t="shared" si="11"/>
        <v>0</v>
      </c>
      <c r="T37" s="66">
        <f t="shared" si="15"/>
        <v>0</v>
      </c>
      <c r="U37" s="65">
        <v>0</v>
      </c>
      <c r="V37" s="65">
        <f t="shared" si="12"/>
        <v>0</v>
      </c>
      <c r="W37" s="77">
        <v>0</v>
      </c>
      <c r="X37" s="74">
        <v>0</v>
      </c>
      <c r="Y37" s="75">
        <v>0</v>
      </c>
      <c r="Z37" s="74">
        <v>0</v>
      </c>
      <c r="AA37" s="75">
        <v>0</v>
      </c>
      <c r="AB37" s="76">
        <v>0</v>
      </c>
      <c r="AC37" s="75">
        <v>0</v>
      </c>
      <c r="AD37" s="76">
        <v>0</v>
      </c>
      <c r="AE37" s="35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</row>
    <row r="38" spans="1:110" ht="16.5" customHeight="1" hidden="1">
      <c r="A38" s="37" t="s">
        <v>47</v>
      </c>
      <c r="B38" s="44" t="s">
        <v>38</v>
      </c>
      <c r="C38" s="70" t="s">
        <v>79</v>
      </c>
      <c r="D38" s="97">
        <f t="shared" si="2"/>
        <v>0</v>
      </c>
      <c r="E38" s="97">
        <f t="shared" si="0"/>
        <v>0</v>
      </c>
      <c r="F38" s="97">
        <f t="shared" si="3"/>
        <v>0</v>
      </c>
      <c r="G38" s="97">
        <f t="shared" si="10"/>
        <v>0</v>
      </c>
      <c r="H38" s="65">
        <v>0</v>
      </c>
      <c r="I38" s="65">
        <f t="shared" si="16"/>
        <v>0</v>
      </c>
      <c r="J38" s="66">
        <f t="shared" si="13"/>
        <v>0</v>
      </c>
      <c r="K38" s="65">
        <v>0</v>
      </c>
      <c r="L38" s="65">
        <f t="shared" si="4"/>
        <v>0</v>
      </c>
      <c r="M38" s="65">
        <v>0</v>
      </c>
      <c r="N38" s="65">
        <f t="shared" si="7"/>
        <v>0</v>
      </c>
      <c r="O38" s="66">
        <f t="shared" si="14"/>
        <v>0</v>
      </c>
      <c r="P38" s="65">
        <v>0</v>
      </c>
      <c r="Q38" s="65">
        <f t="shared" si="8"/>
        <v>0</v>
      </c>
      <c r="R38" s="65">
        <v>0</v>
      </c>
      <c r="S38" s="65">
        <f t="shared" si="11"/>
        <v>0</v>
      </c>
      <c r="T38" s="66">
        <f t="shared" si="15"/>
        <v>0</v>
      </c>
      <c r="U38" s="65">
        <v>0</v>
      </c>
      <c r="V38" s="65">
        <f t="shared" si="12"/>
        <v>0</v>
      </c>
      <c r="W38" s="77">
        <v>0</v>
      </c>
      <c r="X38" s="74">
        <v>0</v>
      </c>
      <c r="Y38" s="75">
        <v>0</v>
      </c>
      <c r="Z38" s="74">
        <v>0</v>
      </c>
      <c r="AA38" s="75">
        <v>0</v>
      </c>
      <c r="AB38" s="76">
        <v>0</v>
      </c>
      <c r="AC38" s="75">
        <v>0</v>
      </c>
      <c r="AD38" s="76">
        <v>0</v>
      </c>
      <c r="AE38" s="35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</row>
    <row r="39" spans="1:31" s="36" customFormat="1" ht="16.5" customHeight="1">
      <c r="A39" s="19">
        <v>4</v>
      </c>
      <c r="B39" s="63" t="s">
        <v>48</v>
      </c>
      <c r="C39" s="64" t="s">
        <v>79</v>
      </c>
      <c r="D39" s="96">
        <f t="shared" si="2"/>
        <v>0</v>
      </c>
      <c r="E39" s="96">
        <f t="shared" si="0"/>
        <v>0</v>
      </c>
      <c r="F39" s="96">
        <f t="shared" si="3"/>
        <v>0</v>
      </c>
      <c r="G39" s="96">
        <f t="shared" si="10"/>
        <v>0</v>
      </c>
      <c r="H39" s="100">
        <v>0</v>
      </c>
      <c r="I39" s="65">
        <f t="shared" si="16"/>
        <v>0</v>
      </c>
      <c r="J39" s="66">
        <f t="shared" si="13"/>
        <v>0</v>
      </c>
      <c r="K39" s="65">
        <f>H39</f>
        <v>0</v>
      </c>
      <c r="L39" s="65">
        <f t="shared" si="4"/>
        <v>0</v>
      </c>
      <c r="M39" s="100">
        <v>0</v>
      </c>
      <c r="N39" s="65">
        <f t="shared" si="7"/>
        <v>0</v>
      </c>
      <c r="O39" s="66">
        <f t="shared" si="14"/>
        <v>0</v>
      </c>
      <c r="P39" s="65">
        <f>M39</f>
        <v>0</v>
      </c>
      <c r="Q39" s="65">
        <f t="shared" si="8"/>
        <v>0</v>
      </c>
      <c r="R39" s="100">
        <v>0</v>
      </c>
      <c r="S39" s="65">
        <f t="shared" si="11"/>
        <v>0</v>
      </c>
      <c r="T39" s="66">
        <f t="shared" si="15"/>
        <v>0</v>
      </c>
      <c r="U39" s="65">
        <f>R39</f>
        <v>0</v>
      </c>
      <c r="V39" s="65">
        <f t="shared" si="12"/>
        <v>0</v>
      </c>
      <c r="W39" s="86">
        <v>0</v>
      </c>
      <c r="X39" s="68">
        <v>0</v>
      </c>
      <c r="Y39" s="69">
        <v>0</v>
      </c>
      <c r="Z39" s="68">
        <v>0</v>
      </c>
      <c r="AA39" s="69">
        <v>0</v>
      </c>
      <c r="AB39" s="68">
        <v>0</v>
      </c>
      <c r="AC39" s="69">
        <v>0</v>
      </c>
      <c r="AD39" s="68">
        <v>0</v>
      </c>
      <c r="AE39" s="35"/>
    </row>
    <row r="40" spans="1:31" s="36" customFormat="1" ht="16.5" customHeight="1">
      <c r="A40" s="19">
        <v>5</v>
      </c>
      <c r="B40" s="63" t="s">
        <v>49</v>
      </c>
      <c r="C40" s="64" t="s">
        <v>79</v>
      </c>
      <c r="D40" s="96">
        <f t="shared" si="2"/>
        <v>0</v>
      </c>
      <c r="E40" s="96">
        <f t="shared" si="0"/>
        <v>0</v>
      </c>
      <c r="F40" s="96">
        <f t="shared" si="3"/>
        <v>0</v>
      </c>
      <c r="G40" s="96">
        <f t="shared" si="10"/>
        <v>0</v>
      </c>
      <c r="H40" s="100">
        <v>0</v>
      </c>
      <c r="I40" s="65">
        <f t="shared" si="16"/>
        <v>0</v>
      </c>
      <c r="J40" s="66">
        <f t="shared" si="13"/>
        <v>0</v>
      </c>
      <c r="K40" s="65">
        <f>H40</f>
        <v>0</v>
      </c>
      <c r="L40" s="65">
        <f t="shared" si="4"/>
        <v>0</v>
      </c>
      <c r="M40" s="100">
        <v>0</v>
      </c>
      <c r="N40" s="65">
        <f t="shared" si="7"/>
        <v>0</v>
      </c>
      <c r="O40" s="66">
        <f t="shared" si="14"/>
        <v>0</v>
      </c>
      <c r="P40" s="65">
        <f>M40</f>
        <v>0</v>
      </c>
      <c r="Q40" s="65">
        <f t="shared" si="8"/>
        <v>0</v>
      </c>
      <c r="R40" s="100">
        <v>0</v>
      </c>
      <c r="S40" s="65">
        <f t="shared" si="11"/>
        <v>0</v>
      </c>
      <c r="T40" s="66">
        <f t="shared" si="15"/>
        <v>0</v>
      </c>
      <c r="U40" s="65">
        <f>R40</f>
        <v>0</v>
      </c>
      <c r="V40" s="65">
        <f t="shared" si="12"/>
        <v>0</v>
      </c>
      <c r="W40" s="86">
        <v>0</v>
      </c>
      <c r="X40" s="68">
        <v>0</v>
      </c>
      <c r="Y40" s="69">
        <v>0</v>
      </c>
      <c r="Z40" s="68">
        <v>0</v>
      </c>
      <c r="AA40" s="69">
        <v>0</v>
      </c>
      <c r="AB40" s="68">
        <v>0</v>
      </c>
      <c r="AC40" s="69">
        <v>0</v>
      </c>
      <c r="AD40" s="68">
        <v>0</v>
      </c>
      <c r="AE40" s="35"/>
    </row>
    <row r="41" spans="1:31" s="36" customFormat="1" ht="16.5" customHeight="1">
      <c r="A41" s="19">
        <v>6</v>
      </c>
      <c r="B41" s="63" t="s">
        <v>50</v>
      </c>
      <c r="C41" s="64" t="s">
        <v>79</v>
      </c>
      <c r="D41" s="96">
        <f t="shared" si="2"/>
        <v>88644.662776</v>
      </c>
      <c r="E41" s="96">
        <f t="shared" si="0"/>
        <v>418.2529241886148</v>
      </c>
      <c r="F41" s="96">
        <f t="shared" si="3"/>
        <v>79706.79868269443</v>
      </c>
      <c r="G41" s="96">
        <f aca="true" t="shared" si="17" ref="G41:G47">ROUND(F41/$D$50*1000,2)</f>
        <v>376.08</v>
      </c>
      <c r="H41" s="65">
        <f>H31+H8</f>
        <v>44278.158012398184</v>
      </c>
      <c r="I41" s="65">
        <f t="shared" si="16"/>
        <v>293.371399076691</v>
      </c>
      <c r="J41" s="66">
        <f>K41/H41</f>
        <v>1</v>
      </c>
      <c r="K41" s="65">
        <f>K31+K8</f>
        <v>44278.158012398184</v>
      </c>
      <c r="L41" s="65">
        <f t="shared" si="4"/>
        <v>293.371399076691</v>
      </c>
      <c r="M41" s="65">
        <f>M31+M8</f>
        <v>36690.70282735465</v>
      </c>
      <c r="N41" s="65">
        <f t="shared" si="7"/>
        <v>727.1808581948117</v>
      </c>
      <c r="O41" s="66">
        <f>P41/M41</f>
        <v>0.7729166095386819</v>
      </c>
      <c r="P41" s="65">
        <f>P31+P8</f>
        <v>28358.85363091029</v>
      </c>
      <c r="Q41" s="65">
        <f t="shared" si="8"/>
        <v>562.0501634373629</v>
      </c>
      <c r="R41" s="65">
        <f>R31+R8</f>
        <v>7675.801936247172</v>
      </c>
      <c r="S41" s="65">
        <f t="shared" si="11"/>
        <v>727.1809298840775</v>
      </c>
      <c r="T41" s="66">
        <f>U41/R41</f>
        <v>0.9210486536918757</v>
      </c>
      <c r="U41" s="65">
        <f>U31+U8</f>
        <v>7069.787039385951</v>
      </c>
      <c r="V41" s="65">
        <f t="shared" si="12"/>
        <v>669.7690164601358</v>
      </c>
      <c r="W41" s="86">
        <v>19399.56</v>
      </c>
      <c r="X41" s="68">
        <v>316.46</v>
      </c>
      <c r="Y41" s="69">
        <v>13189.5</v>
      </c>
      <c r="Z41" s="68">
        <v>252.78</v>
      </c>
      <c r="AA41" s="69">
        <v>4924.47</v>
      </c>
      <c r="AB41" s="68">
        <v>680.64</v>
      </c>
      <c r="AC41" s="69">
        <v>1285.59</v>
      </c>
      <c r="AD41" s="68">
        <v>680.64</v>
      </c>
      <c r="AE41" s="35"/>
    </row>
    <row r="42" spans="1:31" s="36" customFormat="1" ht="18.75" customHeight="1">
      <c r="A42" s="19">
        <v>7</v>
      </c>
      <c r="B42" s="48" t="s">
        <v>52</v>
      </c>
      <c r="C42" s="64" t="s">
        <v>79</v>
      </c>
      <c r="D42" s="96">
        <f t="shared" si="2"/>
        <v>0</v>
      </c>
      <c r="E42" s="96">
        <f t="shared" si="0"/>
        <v>0</v>
      </c>
      <c r="F42" s="96">
        <f t="shared" si="3"/>
        <v>2125.7184402177745</v>
      </c>
      <c r="G42" s="96">
        <f t="shared" si="17"/>
        <v>10.03</v>
      </c>
      <c r="H42" s="65">
        <f>SUM(H43:H47)</f>
        <v>0</v>
      </c>
      <c r="I42" s="65">
        <f t="shared" si="16"/>
        <v>0</v>
      </c>
      <c r="J42" s="66">
        <f>IF(H42=0,0,K42/H42)</f>
        <v>0</v>
      </c>
      <c r="K42" s="65">
        <f>SUM(K43:K47)</f>
        <v>0</v>
      </c>
      <c r="L42" s="65">
        <f t="shared" si="4"/>
        <v>0</v>
      </c>
      <c r="M42" s="65">
        <f>SUM(M43:M47)</f>
        <v>0</v>
      </c>
      <c r="N42" s="65">
        <f t="shared" si="7"/>
        <v>0</v>
      </c>
      <c r="O42" s="66">
        <f>IF(M42=0,0,P42/M42)</f>
        <v>0</v>
      </c>
      <c r="P42" s="65">
        <f>SUM(P43:P47)</f>
        <v>1701.5312178546174</v>
      </c>
      <c r="Q42" s="65">
        <f t="shared" si="8"/>
        <v>33.72300980624177</v>
      </c>
      <c r="R42" s="65">
        <f>SUM(R43:R47)</f>
        <v>0</v>
      </c>
      <c r="S42" s="65">
        <f t="shared" si="11"/>
        <v>0</v>
      </c>
      <c r="T42" s="66">
        <f>IF(R42=0,0,U42/R42)</f>
        <v>0</v>
      </c>
      <c r="U42" s="65">
        <f>SUM(U43:U47)</f>
        <v>424.18722236315705</v>
      </c>
      <c r="V42" s="65">
        <f t="shared" si="12"/>
        <v>40.18614098760815</v>
      </c>
      <c r="W42" s="86">
        <v>0</v>
      </c>
      <c r="X42" s="68">
        <v>0</v>
      </c>
      <c r="Y42" s="69">
        <v>0</v>
      </c>
      <c r="Z42" s="68">
        <v>0</v>
      </c>
      <c r="AA42" s="69">
        <v>0</v>
      </c>
      <c r="AB42" s="68">
        <v>0</v>
      </c>
      <c r="AC42" s="69">
        <v>0</v>
      </c>
      <c r="AD42" s="68">
        <v>0</v>
      </c>
      <c r="AE42" s="35"/>
    </row>
    <row r="43" spans="1:110" ht="16.5" customHeight="1">
      <c r="A43" s="37" t="s">
        <v>53</v>
      </c>
      <c r="B43" s="44" t="s">
        <v>54</v>
      </c>
      <c r="C43" s="70" t="s">
        <v>79</v>
      </c>
      <c r="D43" s="97">
        <f t="shared" si="2"/>
        <v>0</v>
      </c>
      <c r="E43" s="97">
        <f t="shared" si="0"/>
        <v>0</v>
      </c>
      <c r="F43" s="97">
        <f t="shared" si="3"/>
        <v>0</v>
      </c>
      <c r="G43" s="97">
        <f t="shared" si="17"/>
        <v>0</v>
      </c>
      <c r="H43" s="98">
        <v>0</v>
      </c>
      <c r="I43" s="71">
        <f t="shared" si="16"/>
        <v>0</v>
      </c>
      <c r="J43" s="72">
        <f>IF(H43=0,0,1)</f>
        <v>0</v>
      </c>
      <c r="K43" s="71">
        <f>H43</f>
        <v>0</v>
      </c>
      <c r="L43" s="71">
        <f t="shared" si="4"/>
        <v>0</v>
      </c>
      <c r="M43" s="98">
        <v>0</v>
      </c>
      <c r="N43" s="71">
        <f t="shared" si="7"/>
        <v>0</v>
      </c>
      <c r="O43" s="72">
        <f t="shared" si="14"/>
        <v>0</v>
      </c>
      <c r="P43" s="71">
        <f>M43</f>
        <v>0</v>
      </c>
      <c r="Q43" s="71">
        <f t="shared" si="8"/>
        <v>0</v>
      </c>
      <c r="R43" s="98">
        <v>0</v>
      </c>
      <c r="S43" s="71">
        <f t="shared" si="11"/>
        <v>0</v>
      </c>
      <c r="T43" s="72">
        <f t="shared" si="15"/>
        <v>0</v>
      </c>
      <c r="U43" s="71">
        <f>R43</f>
        <v>0</v>
      </c>
      <c r="V43" s="71">
        <f t="shared" si="12"/>
        <v>0</v>
      </c>
      <c r="W43" s="77">
        <v>0</v>
      </c>
      <c r="X43" s="74">
        <v>0</v>
      </c>
      <c r="Y43" s="75">
        <v>0</v>
      </c>
      <c r="Z43" s="74">
        <v>0</v>
      </c>
      <c r="AA43" s="75">
        <v>0</v>
      </c>
      <c r="AB43" s="76">
        <v>0</v>
      </c>
      <c r="AC43" s="75">
        <v>0</v>
      </c>
      <c r="AD43" s="76">
        <v>0</v>
      </c>
      <c r="AE43" s="35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</row>
    <row r="44" spans="1:110" ht="16.5" customHeight="1" hidden="1">
      <c r="A44" s="37" t="s">
        <v>55</v>
      </c>
      <c r="B44" s="44" t="s">
        <v>56</v>
      </c>
      <c r="C44" s="70" t="s">
        <v>79</v>
      </c>
      <c r="D44" s="97">
        <f t="shared" si="2"/>
        <v>0</v>
      </c>
      <c r="E44" s="97">
        <f t="shared" si="0"/>
        <v>0</v>
      </c>
      <c r="F44" s="97">
        <f t="shared" si="3"/>
        <v>0</v>
      </c>
      <c r="G44" s="97">
        <f t="shared" si="17"/>
        <v>0</v>
      </c>
      <c r="H44" s="98">
        <v>0</v>
      </c>
      <c r="I44" s="71">
        <f t="shared" si="16"/>
        <v>0</v>
      </c>
      <c r="J44" s="72">
        <f>IF(H44=0,0,1)</f>
        <v>0</v>
      </c>
      <c r="K44" s="71">
        <v>0</v>
      </c>
      <c r="L44" s="71">
        <f t="shared" si="4"/>
        <v>0</v>
      </c>
      <c r="M44" s="98">
        <v>0</v>
      </c>
      <c r="N44" s="71">
        <f t="shared" si="7"/>
        <v>0</v>
      </c>
      <c r="O44" s="72">
        <f t="shared" si="14"/>
        <v>0</v>
      </c>
      <c r="P44" s="71">
        <f>M44</f>
        <v>0</v>
      </c>
      <c r="Q44" s="71">
        <f t="shared" si="8"/>
        <v>0</v>
      </c>
      <c r="R44" s="98">
        <v>0</v>
      </c>
      <c r="S44" s="71">
        <f t="shared" si="11"/>
        <v>0</v>
      </c>
      <c r="T44" s="72">
        <f t="shared" si="15"/>
        <v>0</v>
      </c>
      <c r="U44" s="71">
        <f>R44</f>
        <v>0</v>
      </c>
      <c r="V44" s="71">
        <f t="shared" si="12"/>
        <v>0</v>
      </c>
      <c r="W44" s="77">
        <v>0</v>
      </c>
      <c r="X44" s="74">
        <v>0</v>
      </c>
      <c r="Y44" s="75">
        <v>0</v>
      </c>
      <c r="Z44" s="74">
        <v>0</v>
      </c>
      <c r="AA44" s="75">
        <v>0</v>
      </c>
      <c r="AB44" s="76">
        <v>0</v>
      </c>
      <c r="AC44" s="75">
        <v>0</v>
      </c>
      <c r="AD44" s="76">
        <v>0</v>
      </c>
      <c r="AE44" s="35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</row>
    <row r="45" spans="1:110" ht="16.5" customHeight="1">
      <c r="A45" s="37" t="s">
        <v>55</v>
      </c>
      <c r="B45" s="44" t="s">
        <v>106</v>
      </c>
      <c r="C45" s="70" t="s">
        <v>79</v>
      </c>
      <c r="D45" s="97">
        <f t="shared" si="2"/>
        <v>0</v>
      </c>
      <c r="E45" s="97">
        <f t="shared" si="0"/>
        <v>0</v>
      </c>
      <c r="F45" s="97">
        <f t="shared" si="3"/>
        <v>0</v>
      </c>
      <c r="G45" s="97">
        <f t="shared" si="17"/>
        <v>0</v>
      </c>
      <c r="H45" s="98">
        <v>0</v>
      </c>
      <c r="I45" s="71">
        <f t="shared" si="16"/>
        <v>0</v>
      </c>
      <c r="J45" s="72">
        <f>IF(H45=0,0,1)</f>
        <v>0</v>
      </c>
      <c r="K45" s="71">
        <f>H45</f>
        <v>0</v>
      </c>
      <c r="L45" s="71">
        <f t="shared" si="4"/>
        <v>0</v>
      </c>
      <c r="M45" s="98">
        <v>0</v>
      </c>
      <c r="N45" s="71">
        <f t="shared" si="7"/>
        <v>0</v>
      </c>
      <c r="O45" s="72">
        <f t="shared" si="14"/>
        <v>0</v>
      </c>
      <c r="P45" s="71">
        <f>M45</f>
        <v>0</v>
      </c>
      <c r="Q45" s="71">
        <f t="shared" si="8"/>
        <v>0</v>
      </c>
      <c r="R45" s="98">
        <v>0</v>
      </c>
      <c r="S45" s="71">
        <f t="shared" si="11"/>
        <v>0</v>
      </c>
      <c r="T45" s="72">
        <f t="shared" si="15"/>
        <v>0</v>
      </c>
      <c r="U45" s="71">
        <f>R45</f>
        <v>0</v>
      </c>
      <c r="V45" s="71">
        <f t="shared" si="12"/>
        <v>0</v>
      </c>
      <c r="W45" s="77">
        <v>0</v>
      </c>
      <c r="X45" s="74">
        <v>0</v>
      </c>
      <c r="Y45" s="75">
        <v>0</v>
      </c>
      <c r="Z45" s="74">
        <v>0</v>
      </c>
      <c r="AA45" s="75">
        <v>0</v>
      </c>
      <c r="AB45" s="76">
        <v>0</v>
      </c>
      <c r="AC45" s="75">
        <v>0</v>
      </c>
      <c r="AD45" s="76">
        <v>0</v>
      </c>
      <c r="AE45" s="35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</row>
    <row r="46" spans="1:110" ht="17.25" customHeight="1">
      <c r="A46" s="37" t="s">
        <v>57</v>
      </c>
      <c r="B46" s="44" t="s">
        <v>58</v>
      </c>
      <c r="C46" s="70" t="s">
        <v>79</v>
      </c>
      <c r="D46" s="97">
        <f t="shared" si="2"/>
        <v>0</v>
      </c>
      <c r="E46" s="97">
        <f t="shared" si="0"/>
        <v>0</v>
      </c>
      <c r="F46" s="97">
        <f t="shared" si="3"/>
        <v>2125.7184402177745</v>
      </c>
      <c r="G46" s="97">
        <f t="shared" si="17"/>
        <v>10.03</v>
      </c>
      <c r="H46" s="98">
        <v>0</v>
      </c>
      <c r="I46" s="71">
        <f t="shared" si="16"/>
        <v>0</v>
      </c>
      <c r="J46" s="72">
        <f>IF(H46=0,0,1)</f>
        <v>0</v>
      </c>
      <c r="K46" s="71">
        <f>H46</f>
        <v>0</v>
      </c>
      <c r="L46" s="71">
        <f t="shared" si="4"/>
        <v>0</v>
      </c>
      <c r="M46" s="98">
        <v>0</v>
      </c>
      <c r="N46" s="71">
        <f t="shared" si="7"/>
        <v>0</v>
      </c>
      <c r="O46" s="72">
        <f t="shared" si="14"/>
        <v>0</v>
      </c>
      <c r="P46" s="71">
        <f>P41*0.06</f>
        <v>1701.5312178546174</v>
      </c>
      <c r="Q46" s="71">
        <f t="shared" si="8"/>
        <v>33.72300980624177</v>
      </c>
      <c r="R46" s="98">
        <v>0</v>
      </c>
      <c r="S46" s="71">
        <f t="shared" si="11"/>
        <v>0</v>
      </c>
      <c r="T46" s="72">
        <f t="shared" si="15"/>
        <v>0</v>
      </c>
      <c r="U46" s="71">
        <f>U41*0.06</f>
        <v>424.18722236315705</v>
      </c>
      <c r="V46" s="71">
        <f t="shared" si="12"/>
        <v>40.18614098760815</v>
      </c>
      <c r="W46" s="77">
        <v>0</v>
      </c>
      <c r="X46" s="74">
        <v>0</v>
      </c>
      <c r="Y46" s="75">
        <v>0</v>
      </c>
      <c r="Z46" s="74">
        <v>0</v>
      </c>
      <c r="AA46" s="75">
        <v>0</v>
      </c>
      <c r="AB46" s="76">
        <v>0</v>
      </c>
      <c r="AC46" s="75">
        <v>0</v>
      </c>
      <c r="AD46" s="76">
        <v>0</v>
      </c>
      <c r="AE46" s="35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</row>
    <row r="47" spans="1:110" ht="16.5" customHeight="1">
      <c r="A47" s="37" t="s">
        <v>59</v>
      </c>
      <c r="B47" s="44" t="s">
        <v>98</v>
      </c>
      <c r="C47" s="70" t="s">
        <v>79</v>
      </c>
      <c r="D47" s="97">
        <f t="shared" si="2"/>
        <v>0</v>
      </c>
      <c r="E47" s="97">
        <f t="shared" si="0"/>
        <v>0</v>
      </c>
      <c r="F47" s="97">
        <f t="shared" si="3"/>
        <v>0</v>
      </c>
      <c r="G47" s="97">
        <f t="shared" si="17"/>
        <v>0</v>
      </c>
      <c r="H47" s="98">
        <v>0</v>
      </c>
      <c r="I47" s="71">
        <f t="shared" si="16"/>
        <v>0</v>
      </c>
      <c r="J47" s="72">
        <f>IF(H47=0,0,1)</f>
        <v>0</v>
      </c>
      <c r="K47" s="71">
        <f>H47</f>
        <v>0</v>
      </c>
      <c r="L47" s="71">
        <f t="shared" si="4"/>
        <v>0</v>
      </c>
      <c r="M47" s="98">
        <v>0</v>
      </c>
      <c r="N47" s="71">
        <f t="shared" si="7"/>
        <v>0</v>
      </c>
      <c r="O47" s="72">
        <f t="shared" si="14"/>
        <v>0</v>
      </c>
      <c r="P47" s="71">
        <f>M47</f>
        <v>0</v>
      </c>
      <c r="Q47" s="71">
        <f t="shared" si="8"/>
        <v>0</v>
      </c>
      <c r="R47" s="98">
        <v>0</v>
      </c>
      <c r="S47" s="71">
        <f t="shared" si="11"/>
        <v>0</v>
      </c>
      <c r="T47" s="72">
        <f t="shared" si="15"/>
        <v>0</v>
      </c>
      <c r="U47" s="71">
        <f>R47</f>
        <v>0</v>
      </c>
      <c r="V47" s="71">
        <f t="shared" si="12"/>
        <v>0</v>
      </c>
      <c r="W47" s="77">
        <v>0</v>
      </c>
      <c r="X47" s="74">
        <v>0</v>
      </c>
      <c r="Y47" s="75">
        <v>0</v>
      </c>
      <c r="Z47" s="74">
        <v>0</v>
      </c>
      <c r="AA47" s="75">
        <v>0</v>
      </c>
      <c r="AB47" s="76">
        <v>0</v>
      </c>
      <c r="AC47" s="75">
        <v>0</v>
      </c>
      <c r="AD47" s="76">
        <v>0</v>
      </c>
      <c r="AE47" s="35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</row>
    <row r="48" spans="1:32" s="36" customFormat="1" ht="33" customHeight="1">
      <c r="A48" s="19">
        <v>8</v>
      </c>
      <c r="B48" s="63" t="s">
        <v>99</v>
      </c>
      <c r="C48" s="64" t="s">
        <v>79</v>
      </c>
      <c r="D48" s="96">
        <f t="shared" si="2"/>
        <v>88644.662776</v>
      </c>
      <c r="E48" s="96">
        <f>E41+E42</f>
        <v>418.2529241886148</v>
      </c>
      <c r="F48" s="96">
        <f t="shared" si="3"/>
        <v>81832.5171229122</v>
      </c>
      <c r="G48" s="96">
        <f>G41+G42</f>
        <v>386.10999999999996</v>
      </c>
      <c r="H48" s="65">
        <f>H41+H42</f>
        <v>44278.158012398184</v>
      </c>
      <c r="I48" s="65">
        <f>I41+I42</f>
        <v>293.371399076691</v>
      </c>
      <c r="J48" s="66">
        <f>K48/H48</f>
        <v>1</v>
      </c>
      <c r="K48" s="65">
        <f>K41+K42</f>
        <v>44278.158012398184</v>
      </c>
      <c r="L48" s="65">
        <f>L41+L42</f>
        <v>293.371399076691</v>
      </c>
      <c r="M48" s="65">
        <f>M41+M42</f>
        <v>36690.70282735465</v>
      </c>
      <c r="N48" s="65">
        <f>N41+N42</f>
        <v>727.1808581948117</v>
      </c>
      <c r="O48" s="66">
        <f>P48/M48</f>
        <v>0.8192916061110029</v>
      </c>
      <c r="P48" s="65">
        <f>P41+P42</f>
        <v>30060.38484876491</v>
      </c>
      <c r="Q48" s="65">
        <f>Q41+Q42</f>
        <v>595.7731732436047</v>
      </c>
      <c r="R48" s="65">
        <f>R41+R42</f>
        <v>7675.801936247172</v>
      </c>
      <c r="S48" s="65">
        <f>S41+S42</f>
        <v>727.1809298840775</v>
      </c>
      <c r="T48" s="66">
        <f>U48/R48</f>
        <v>0.9763115729133883</v>
      </c>
      <c r="U48" s="65">
        <f>U41+U42</f>
        <v>7493.974261749108</v>
      </c>
      <c r="V48" s="65">
        <f>V41+V42</f>
        <v>709.955157447744</v>
      </c>
      <c r="W48" s="86">
        <v>19399.56</v>
      </c>
      <c r="X48" s="68">
        <v>316.46</v>
      </c>
      <c r="Y48" s="69">
        <v>13189.5</v>
      </c>
      <c r="Z48" s="68">
        <v>252.78</v>
      </c>
      <c r="AA48" s="69">
        <v>4924.47</v>
      </c>
      <c r="AB48" s="68">
        <v>680.64</v>
      </c>
      <c r="AC48" s="69">
        <v>1285.59</v>
      </c>
      <c r="AD48" s="68">
        <v>680.64</v>
      </c>
      <c r="AE48" s="83">
        <f>((V48*U50)+(Q48*P50)+(I48*H50))/F50</f>
        <v>386.11111496765244</v>
      </c>
      <c r="AF48" s="35"/>
    </row>
    <row r="49" spans="1:31" s="36" customFormat="1" ht="22.5" customHeight="1">
      <c r="A49" s="19">
        <v>9</v>
      </c>
      <c r="B49" s="63" t="s">
        <v>100</v>
      </c>
      <c r="C49" s="46"/>
      <c r="D49" s="65"/>
      <c r="E49" s="96">
        <f>E48</f>
        <v>418.2529241886148</v>
      </c>
      <c r="F49" s="66"/>
      <c r="G49" s="96">
        <f>G48</f>
        <v>386.10999999999996</v>
      </c>
      <c r="H49" s="65"/>
      <c r="I49" s="65">
        <f>I48</f>
        <v>293.371399076691</v>
      </c>
      <c r="J49" s="66">
        <f>L49/I49</f>
        <v>1</v>
      </c>
      <c r="K49" s="65"/>
      <c r="L49" s="65">
        <f>L48</f>
        <v>293.371399076691</v>
      </c>
      <c r="M49" s="65"/>
      <c r="N49" s="65">
        <f>N48</f>
        <v>727.1808581948117</v>
      </c>
      <c r="O49" s="66">
        <f>Q49/N49</f>
        <v>0.8192916061110028</v>
      </c>
      <c r="P49" s="65"/>
      <c r="Q49" s="65">
        <f>Q48</f>
        <v>595.7731732436047</v>
      </c>
      <c r="R49" s="65"/>
      <c r="S49" s="65">
        <f>S48</f>
        <v>727.1809298840775</v>
      </c>
      <c r="T49" s="66">
        <f>V49/S49</f>
        <v>0.9763115729133882</v>
      </c>
      <c r="U49" s="65"/>
      <c r="V49" s="65">
        <f>V48</f>
        <v>709.955157447744</v>
      </c>
      <c r="W49" s="87">
        <v>316.46</v>
      </c>
      <c r="X49" s="68">
        <v>316.46</v>
      </c>
      <c r="Y49" s="68">
        <v>252.78</v>
      </c>
      <c r="Z49" s="68">
        <v>252.78</v>
      </c>
      <c r="AA49" s="68">
        <v>680.64</v>
      </c>
      <c r="AB49" s="68">
        <v>680.64</v>
      </c>
      <c r="AC49" s="68">
        <v>680.64</v>
      </c>
      <c r="AD49" s="68">
        <v>680.64</v>
      </c>
      <c r="AE49" s="83">
        <f>((S48*R50)+(N48*M50)+(I48*H50))/D50</f>
        <v>418.2529241886148</v>
      </c>
    </row>
    <row r="50" spans="1:22" s="36" customFormat="1" ht="30" customHeight="1">
      <c r="A50" s="19">
        <v>10</v>
      </c>
      <c r="B50" s="63" t="s">
        <v>61</v>
      </c>
      <c r="C50" s="64" t="s">
        <v>101</v>
      </c>
      <c r="D50" s="96">
        <f>H50+M50+R50</f>
        <v>211940.33</v>
      </c>
      <c r="E50" s="66"/>
      <c r="F50" s="96">
        <f>H50+P50+U50</f>
        <v>211940.33</v>
      </c>
      <c r="G50" s="65"/>
      <c r="H50" s="100">
        <v>150928.68</v>
      </c>
      <c r="I50" s="65"/>
      <c r="J50" s="66">
        <f>K50/H50</f>
        <v>1</v>
      </c>
      <c r="K50" s="65">
        <f>H50</f>
        <v>150928.68</v>
      </c>
      <c r="L50" s="65"/>
      <c r="M50" s="100">
        <v>50456.09</v>
      </c>
      <c r="N50" s="65"/>
      <c r="O50" s="66">
        <f>P50/M50</f>
        <v>1</v>
      </c>
      <c r="P50" s="65">
        <f>M50</f>
        <v>50456.09</v>
      </c>
      <c r="Q50" s="65"/>
      <c r="R50" s="100">
        <v>10555.56</v>
      </c>
      <c r="S50" s="65"/>
      <c r="T50" s="66">
        <f>U50/R50</f>
        <v>1</v>
      </c>
      <c r="U50" s="65">
        <f>R50</f>
        <v>10555.56</v>
      </c>
      <c r="V50" s="65"/>
    </row>
    <row r="51" spans="1:22" s="36" customFormat="1" ht="23.25" customHeight="1">
      <c r="A51" s="19">
        <v>11</v>
      </c>
      <c r="B51" s="63" t="s">
        <v>102</v>
      </c>
      <c r="C51" s="64"/>
      <c r="D51" s="96">
        <f>D42/D41*100</f>
        <v>0</v>
      </c>
      <c r="E51" s="96">
        <f aca="true" t="shared" si="18" ref="E51:V51">E42/E41*100</f>
        <v>0</v>
      </c>
      <c r="F51" s="96">
        <f t="shared" si="18"/>
        <v>2.6669223646530678</v>
      </c>
      <c r="G51" s="96">
        <f t="shared" si="18"/>
        <v>2.6669857477132526</v>
      </c>
      <c r="H51" s="65">
        <f t="shared" si="18"/>
        <v>0</v>
      </c>
      <c r="I51" s="87">
        <f t="shared" si="18"/>
        <v>0</v>
      </c>
      <c r="J51" s="66">
        <f>IF(H51=0,0,K51/H51)</f>
        <v>0</v>
      </c>
      <c r="K51" s="65">
        <f>K42/K41*100</f>
        <v>0</v>
      </c>
      <c r="L51" s="65">
        <f>L42/L41*100</f>
        <v>0</v>
      </c>
      <c r="M51" s="65">
        <f t="shared" si="18"/>
        <v>0</v>
      </c>
      <c r="N51" s="65">
        <f t="shared" si="18"/>
        <v>0</v>
      </c>
      <c r="O51" s="66">
        <f>IF(M51=0,0,P51/M51)</f>
        <v>0</v>
      </c>
      <c r="P51" s="65">
        <f t="shared" si="18"/>
        <v>6</v>
      </c>
      <c r="Q51" s="65">
        <f t="shared" si="18"/>
        <v>5.999999999999999</v>
      </c>
      <c r="R51" s="65">
        <f t="shared" si="18"/>
        <v>0</v>
      </c>
      <c r="S51" s="65">
        <f t="shared" si="18"/>
        <v>0</v>
      </c>
      <c r="T51" s="66">
        <f>IF(R51=0,0,U51/R51)</f>
        <v>0</v>
      </c>
      <c r="U51" s="65">
        <f t="shared" si="18"/>
        <v>6</v>
      </c>
      <c r="V51" s="65">
        <f t="shared" si="18"/>
        <v>6</v>
      </c>
    </row>
    <row r="52" ht="32.25" customHeight="1"/>
  </sheetData>
  <sheetProtection selectLockedCells="1" selectUnlockedCells="1"/>
  <mergeCells count="22">
    <mergeCell ref="R5:S5"/>
    <mergeCell ref="U5:V5"/>
    <mergeCell ref="W4:X4"/>
    <mergeCell ref="Y4:Z4"/>
    <mergeCell ref="AA4:AB4"/>
    <mergeCell ref="AC4:AD4"/>
    <mergeCell ref="D5:E5"/>
    <mergeCell ref="F5:G5"/>
    <mergeCell ref="H5:I5"/>
    <mergeCell ref="K5:L5"/>
    <mergeCell ref="M5:N5"/>
    <mergeCell ref="P5:Q5"/>
    <mergeCell ref="A2:V2"/>
    <mergeCell ref="B3:N3"/>
    <mergeCell ref="R3:S3"/>
    <mergeCell ref="U3:V3"/>
    <mergeCell ref="A4:A6"/>
    <mergeCell ref="B4:B6"/>
    <mergeCell ref="D4:G4"/>
    <mergeCell ref="H4:L4"/>
    <mergeCell ref="M4:Q4"/>
    <mergeCell ref="R4:V4"/>
  </mergeCells>
  <printOptions horizontalCentered="1"/>
  <pageMargins left="0.15763888888888888" right="0.15763888888888888" top="0.19652777777777777" bottom="0.15763888888888888" header="0.5118055555555555" footer="0.5118055555555555"/>
  <pageSetup firstPageNumber="1" useFirstPageNumber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SheetLayoutView="85" zoomScalePageLayoutView="0" workbookViewId="0" topLeftCell="A25">
      <selection activeCell="E11" sqref="E11"/>
    </sheetView>
  </sheetViews>
  <sheetFormatPr defaultColWidth="9.140625" defaultRowHeight="12.75"/>
  <cols>
    <col min="1" max="1" width="8.421875" style="0" customWidth="1"/>
    <col min="2" max="2" width="40.7109375" style="0" customWidth="1"/>
    <col min="3" max="3" width="10.7109375" style="0" customWidth="1"/>
    <col min="4" max="4" width="10.2812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10.421875" style="0" customWidth="1"/>
    <col min="10" max="10" width="10.140625" style="0" customWidth="1"/>
  </cols>
  <sheetData>
    <row r="1" spans="1:10" ht="18.75">
      <c r="A1" s="109"/>
      <c r="B1" s="109"/>
      <c r="C1" s="109"/>
      <c r="D1" s="109"/>
      <c r="E1" s="110"/>
      <c r="F1" s="110"/>
      <c r="G1" s="109"/>
      <c r="H1" s="111" t="s">
        <v>110</v>
      </c>
      <c r="I1" s="112"/>
      <c r="J1" s="113"/>
    </row>
    <row r="2" spans="1:10" ht="18.75">
      <c r="A2" s="109"/>
      <c r="B2" s="109"/>
      <c r="C2" s="109"/>
      <c r="D2" s="109"/>
      <c r="E2" s="110"/>
      <c r="F2" s="110"/>
      <c r="G2" s="109"/>
      <c r="H2" s="114" t="s">
        <v>108</v>
      </c>
      <c r="I2" s="115"/>
      <c r="J2" s="113"/>
    </row>
    <row r="3" spans="1:10" ht="18">
      <c r="A3" s="109"/>
      <c r="B3" s="109"/>
      <c r="C3" s="109"/>
      <c r="D3" s="109"/>
      <c r="E3" s="110"/>
      <c r="F3" s="110"/>
      <c r="G3" s="109"/>
      <c r="H3" s="14" t="s">
        <v>111</v>
      </c>
      <c r="I3" s="115"/>
      <c r="J3" s="113"/>
    </row>
    <row r="4" spans="1:10" ht="13.5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8.75" customHeight="1">
      <c r="A5" s="291" t="s">
        <v>112</v>
      </c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8.75" customHeight="1">
      <c r="A6" s="291" t="str">
        <f>Додаток1!A6</f>
        <v>по КП "Лисичанськтепломережа" за 6 месяці  2019р.</v>
      </c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5">
      <c r="A7" s="116"/>
      <c r="B7" s="116"/>
      <c r="C7" s="117"/>
      <c r="D7" s="117"/>
      <c r="E7" s="117"/>
      <c r="F7" s="117"/>
      <c r="G7" s="117"/>
      <c r="H7" s="117"/>
      <c r="I7" s="109"/>
      <c r="J7" s="118" t="s">
        <v>113</v>
      </c>
    </row>
    <row r="8" spans="1:10" ht="52.5" customHeight="1">
      <c r="A8" s="287" t="s">
        <v>1</v>
      </c>
      <c r="B8" s="287" t="s">
        <v>2</v>
      </c>
      <c r="C8" s="287" t="s">
        <v>114</v>
      </c>
      <c r="D8" s="287"/>
      <c r="E8" s="287" t="s">
        <v>115</v>
      </c>
      <c r="F8" s="287"/>
      <c r="G8" s="287" t="s">
        <v>116</v>
      </c>
      <c r="H8" s="287"/>
      <c r="I8" s="287" t="s">
        <v>117</v>
      </c>
      <c r="J8" s="287"/>
    </row>
    <row r="9" spans="1:10" ht="41.25">
      <c r="A9" s="287"/>
      <c r="B9" s="287"/>
      <c r="C9" s="119" t="s">
        <v>7</v>
      </c>
      <c r="D9" s="119" t="s">
        <v>118</v>
      </c>
      <c r="E9" s="119" t="s">
        <v>7</v>
      </c>
      <c r="F9" s="119" t="s">
        <v>118</v>
      </c>
      <c r="G9" s="119" t="s">
        <v>7</v>
      </c>
      <c r="H9" s="119" t="s">
        <v>118</v>
      </c>
      <c r="I9" s="119" t="s">
        <v>7</v>
      </c>
      <c r="J9" s="119" t="s">
        <v>118</v>
      </c>
    </row>
    <row r="10" spans="1:10" ht="13.5">
      <c r="A10" s="120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21">
        <v>8</v>
      </c>
      <c r="I10" s="121">
        <v>9</v>
      </c>
      <c r="J10" s="122">
        <v>10</v>
      </c>
    </row>
    <row r="11" spans="1:10" ht="32.25">
      <c r="A11" s="123">
        <v>1</v>
      </c>
      <c r="B11" s="124" t="s">
        <v>61</v>
      </c>
      <c r="C11" s="125">
        <f>E11+G11+I11</f>
        <v>211940.33</v>
      </c>
      <c r="D11" s="125"/>
      <c r="E11" s="125">
        <f>'Додаток2 скор'!H50</f>
        <v>150928.68</v>
      </c>
      <c r="F11" s="125"/>
      <c r="G11" s="125">
        <f>'Додаток2 скор'!P50</f>
        <v>50456.09</v>
      </c>
      <c r="H11" s="125"/>
      <c r="I11" s="125">
        <f>'Додаток2 скор'!U50</f>
        <v>10555.56</v>
      </c>
      <c r="J11" s="126"/>
    </row>
    <row r="12" spans="1:12" ht="48">
      <c r="A12" s="123">
        <v>2</v>
      </c>
      <c r="B12" s="124" t="s">
        <v>119</v>
      </c>
      <c r="C12" s="125">
        <f>E12+G12+I12</f>
        <v>0</v>
      </c>
      <c r="D12" s="125"/>
      <c r="E12" s="125"/>
      <c r="F12" s="125"/>
      <c r="G12" s="125"/>
      <c r="H12" s="125"/>
      <c r="I12" s="125"/>
      <c r="J12" s="126"/>
      <c r="L12" s="127"/>
    </row>
    <row r="13" spans="1:10" ht="18.75" customHeight="1">
      <c r="A13" s="288" t="s">
        <v>120</v>
      </c>
      <c r="B13" s="288"/>
      <c r="C13" s="288"/>
      <c r="D13" s="288"/>
      <c r="E13" s="288"/>
      <c r="F13" s="288"/>
      <c r="G13" s="288"/>
      <c r="H13" s="288"/>
      <c r="I13" s="288"/>
      <c r="J13" s="288"/>
    </row>
    <row r="14" spans="1:10" ht="32.25">
      <c r="A14" s="128">
        <v>3</v>
      </c>
      <c r="B14" s="129" t="s">
        <v>121</v>
      </c>
      <c r="C14" s="125">
        <f>ROUNDDOWN(C15+C20,2)</f>
        <v>79706.79</v>
      </c>
      <c r="D14" s="125"/>
      <c r="E14" s="125">
        <f>E15+E20</f>
        <v>44278.158012398184</v>
      </c>
      <c r="F14" s="125"/>
      <c r="G14" s="125">
        <f>G15+G20</f>
        <v>28358.85363091029</v>
      </c>
      <c r="H14" s="125"/>
      <c r="I14" s="125">
        <f>I15+I20</f>
        <v>7069.787039385951</v>
      </c>
      <c r="J14" s="125"/>
    </row>
    <row r="15" spans="1:10" ht="15.75">
      <c r="A15" s="130" t="s">
        <v>43</v>
      </c>
      <c r="B15" s="129" t="s">
        <v>122</v>
      </c>
      <c r="C15" s="131">
        <f>SUM(C16:C19)</f>
        <v>62820.08969669442</v>
      </c>
      <c r="D15" s="125">
        <f>ROUNDDOWN(C15/C11*1000,4)</f>
        <v>296.4046</v>
      </c>
      <c r="E15" s="125">
        <f>SUM(E16:E19)</f>
        <v>32252.656793252594</v>
      </c>
      <c r="F15" s="125">
        <f>ROUND(E15/E11*1000,2)</f>
        <v>213.69</v>
      </c>
      <c r="G15" s="125">
        <f>SUM(G16:G19)</f>
        <v>24338.67819567611</v>
      </c>
      <c r="H15" s="125">
        <f>ROUNDUP(G15/G11*1000,2)</f>
        <v>482.38</v>
      </c>
      <c r="I15" s="125">
        <f>SUM(I16:I19)</f>
        <v>6228.7547077657155</v>
      </c>
      <c r="J15" s="125">
        <f>ROUNDUP(I15/I11*1000,2)</f>
        <v>590.1</v>
      </c>
    </row>
    <row r="16" spans="1:10" ht="48">
      <c r="A16" s="132" t="s">
        <v>123</v>
      </c>
      <c r="B16" s="124" t="s">
        <v>124</v>
      </c>
      <c r="C16" s="133">
        <f>E16+G16+I16</f>
        <v>54287.13590669442</v>
      </c>
      <c r="D16" s="133">
        <f>C16/$C$11*1000</f>
        <v>256.14349051308176</v>
      </c>
      <c r="E16" s="133">
        <f>'Додаток2 скор'!H10</f>
        <v>26176.1</v>
      </c>
      <c r="F16" s="133">
        <f>E16/$E$11*1000</f>
        <v>173.43357140604422</v>
      </c>
      <c r="G16" s="133">
        <f>'Додаток2 скор'!P10</f>
        <v>22307.259803555644</v>
      </c>
      <c r="H16" s="133">
        <f>G16/$G$11*1000</f>
        <v>442.1123357667161</v>
      </c>
      <c r="I16" s="133">
        <f>'Додаток2 скор'!U10</f>
        <v>5803.776103138779</v>
      </c>
      <c r="J16" s="133">
        <f>I16/$I$11*1000</f>
        <v>549.8311887894891</v>
      </c>
    </row>
    <row r="17" spans="1:10" ht="48">
      <c r="A17" s="132" t="s">
        <v>125</v>
      </c>
      <c r="B17" s="124" t="s">
        <v>126</v>
      </c>
      <c r="C17" s="133">
        <f>E17+G17+I17</f>
        <v>8532.95379</v>
      </c>
      <c r="D17" s="133">
        <f>C17/$C$11*1000</f>
        <v>40.26111401260911</v>
      </c>
      <c r="E17" s="133">
        <f>'Додаток2 скор'!H13</f>
        <v>6076.556793252597</v>
      </c>
      <c r="F17" s="133">
        <f>E17/$E$11*1000</f>
        <v>40.26111401260911</v>
      </c>
      <c r="G17" s="133">
        <f>'Додаток2 скор'!P13</f>
        <v>2031.4183921204665</v>
      </c>
      <c r="H17" s="133">
        <f>G17/$G$11*1000</f>
        <v>40.26111401260911</v>
      </c>
      <c r="I17" s="133">
        <f>'Додаток2 скор'!U13</f>
        <v>424.97860462693626</v>
      </c>
      <c r="J17" s="133">
        <f>I17/$I$11*1000</f>
        <v>40.26111401260911</v>
      </c>
    </row>
    <row r="18" spans="1:10" ht="48">
      <c r="A18" s="132" t="s">
        <v>127</v>
      </c>
      <c r="B18" s="124" t="s">
        <v>128</v>
      </c>
      <c r="C18" s="133">
        <f>E18+G18+I18</f>
        <v>0</v>
      </c>
      <c r="D18" s="133">
        <f>C18/$C$11*1000</f>
        <v>0</v>
      </c>
      <c r="E18" s="133">
        <f>'Додаток2 скор'!K14</f>
        <v>0</v>
      </c>
      <c r="F18" s="133">
        <f>E18/$E$11*1000</f>
        <v>0</v>
      </c>
      <c r="G18" s="133">
        <f>'Додаток2 скор'!P14</f>
        <v>0</v>
      </c>
      <c r="H18" s="133">
        <f>G18/$G$11*1000</f>
        <v>0</v>
      </c>
      <c r="I18" s="133">
        <f>'Додаток2 скор'!U14</f>
        <v>0</v>
      </c>
      <c r="J18" s="133">
        <f>I18/$I$11*1000</f>
        <v>0</v>
      </c>
    </row>
    <row r="19" spans="1:10" ht="15.75">
      <c r="A19" s="132" t="s">
        <v>129</v>
      </c>
      <c r="B19" s="124" t="s">
        <v>130</v>
      </c>
      <c r="C19" s="133">
        <f>E19+G19+I19</f>
        <v>0</v>
      </c>
      <c r="D19" s="133">
        <f>C19/$C$11*1000</f>
        <v>0</v>
      </c>
      <c r="E19" s="133">
        <f>'Додаток2 скор'!K17</f>
        <v>0</v>
      </c>
      <c r="F19" s="133">
        <f>E19/$E$11*1000</f>
        <v>0</v>
      </c>
      <c r="G19" s="133">
        <f>'Додаток2 скор'!P17</f>
        <v>0</v>
      </c>
      <c r="H19" s="133">
        <f>G19/$G$11*1000</f>
        <v>0</v>
      </c>
      <c r="I19" s="133">
        <f>'Додаток2 скор'!U17</f>
        <v>0</v>
      </c>
      <c r="J19" s="133">
        <f>I19/$I$11*1000</f>
        <v>0</v>
      </c>
    </row>
    <row r="20" spans="1:10" ht="48">
      <c r="A20" s="130" t="s">
        <v>45</v>
      </c>
      <c r="B20" s="129" t="s">
        <v>131</v>
      </c>
      <c r="C20" s="125">
        <f>E20+G20+I20</f>
        <v>16886.708986000005</v>
      </c>
      <c r="D20" s="125" t="e">
        <f>ROUND(C20/C12/12*1000,2)</f>
        <v>#DIV/0!</v>
      </c>
      <c r="E20" s="125">
        <f>'Додаток2 скор'!H41-Двоставк!E15</f>
        <v>12025.50121914559</v>
      </c>
      <c r="F20" s="125" t="e">
        <f>E20/E12/12*1000</f>
        <v>#DIV/0!</v>
      </c>
      <c r="G20" s="65">
        <f>'Додаток2 скор'!P41-Двоставк!G15</f>
        <v>4020.1754352341777</v>
      </c>
      <c r="H20" s="125" t="e">
        <f>G20/G12/12*1000</f>
        <v>#DIV/0!</v>
      </c>
      <c r="I20" s="125">
        <f>'Додаток2 скор'!U41-Двоставк!I15</f>
        <v>841.0323316202357</v>
      </c>
      <c r="J20" s="125" t="e">
        <f>I20/I12/12*1000</f>
        <v>#DIV/0!</v>
      </c>
    </row>
    <row r="21" spans="1:10" ht="32.25">
      <c r="A21" s="128">
        <v>4</v>
      </c>
      <c r="B21" s="129" t="s">
        <v>132</v>
      </c>
      <c r="C21" s="125">
        <f>ROUNDUP(E21+G21+I21,2)</f>
        <v>2125.7200000000003</v>
      </c>
      <c r="D21" s="125"/>
      <c r="E21" s="125">
        <f>'Додаток2 скор'!H42</f>
        <v>0</v>
      </c>
      <c r="F21" s="125"/>
      <c r="G21" s="125">
        <f>'Додаток2 скор'!P42</f>
        <v>1701.5312178546174</v>
      </c>
      <c r="H21" s="125"/>
      <c r="I21" s="125">
        <f>'Додаток2 скор'!U42</f>
        <v>424.18722236315705</v>
      </c>
      <c r="J21" s="125"/>
    </row>
    <row r="22" spans="1:10" ht="15.75">
      <c r="A22" s="132" t="s">
        <v>133</v>
      </c>
      <c r="B22" s="124" t="s">
        <v>134</v>
      </c>
      <c r="C22" s="133">
        <f>E22+G22+I22</f>
        <v>1834.0459742065095</v>
      </c>
      <c r="D22" s="133">
        <f>ROUND(C22/C11*1000,2)</f>
        <v>8.65</v>
      </c>
      <c r="E22" s="133">
        <f>E$21/$E$14*E$15</f>
        <v>0</v>
      </c>
      <c r="F22" s="133">
        <f>ROUND(E22/E11*1000,2)</f>
        <v>0</v>
      </c>
      <c r="G22" s="133">
        <f>G$21/$G$14*G$15</f>
        <v>1460.3206917405666</v>
      </c>
      <c r="H22" s="133">
        <f>G22/G11*1000</f>
        <v>28.94240698675951</v>
      </c>
      <c r="I22" s="133">
        <f>I$21/$I$14*I$15</f>
        <v>373.72528246594294</v>
      </c>
      <c r="J22" s="133">
        <f>I22/I11*1000</f>
        <v>35.405538168125894</v>
      </c>
    </row>
    <row r="23" spans="1:10" ht="15.75">
      <c r="A23" s="132" t="s">
        <v>135</v>
      </c>
      <c r="B23" s="124" t="s">
        <v>136</v>
      </c>
      <c r="C23" s="133">
        <f>E23+G23+I23</f>
        <v>291.6724660112648</v>
      </c>
      <c r="D23" s="133" t="e">
        <f>ROUND(C23/12/C12*1000,2)</f>
        <v>#DIV/0!</v>
      </c>
      <c r="E23" s="133">
        <f>E$21/$E$14*E$20</f>
        <v>0</v>
      </c>
      <c r="F23" s="133" t="e">
        <f>ROUND(E23/12/E12*1000,2)</f>
        <v>#DIV/0!</v>
      </c>
      <c r="G23" s="133">
        <f>G$21/$G$14*G$20</f>
        <v>241.21052611405065</v>
      </c>
      <c r="H23" s="133" t="e">
        <f>ROUNDUP(G23/G12/12*1000,2)</f>
        <v>#DIV/0!</v>
      </c>
      <c r="I23" s="133">
        <f>I$21/$I$14*I$20</f>
        <v>50.461939897214144</v>
      </c>
      <c r="J23" s="133" t="e">
        <f>I23/I12/12*1000</f>
        <v>#DIV/0!</v>
      </c>
    </row>
    <row r="24" spans="1:10" ht="64.5">
      <c r="A24" s="128">
        <v>5</v>
      </c>
      <c r="B24" s="129" t="s">
        <v>137</v>
      </c>
      <c r="C24" s="125"/>
      <c r="D24" s="125">
        <f>ROUNDUP(D25+D26,2)</f>
        <v>305.06</v>
      </c>
      <c r="E24" s="125"/>
      <c r="F24" s="125">
        <f>F25+F26</f>
        <v>213.69</v>
      </c>
      <c r="G24" s="125"/>
      <c r="H24" s="125">
        <f>H25+H26</f>
        <v>511.3224069867595</v>
      </c>
      <c r="I24" s="125"/>
      <c r="J24" s="125">
        <f>ROUNDDOWN(J25+J26,2)</f>
        <v>625.5</v>
      </c>
    </row>
    <row r="25" spans="1:10" ht="15.75">
      <c r="A25" s="132" t="s">
        <v>138</v>
      </c>
      <c r="B25" s="124" t="s">
        <v>139</v>
      </c>
      <c r="C25" s="133"/>
      <c r="D25" s="133">
        <f>D15</f>
        <v>296.4046</v>
      </c>
      <c r="E25" s="133"/>
      <c r="F25" s="133">
        <f>F15</f>
        <v>213.69</v>
      </c>
      <c r="G25" s="133"/>
      <c r="H25" s="133">
        <f>H15</f>
        <v>482.38</v>
      </c>
      <c r="I25" s="133"/>
      <c r="J25" s="133">
        <f>J15</f>
        <v>590.1</v>
      </c>
    </row>
    <row r="26" spans="1:10" ht="15.75">
      <c r="A26" s="132" t="s">
        <v>140</v>
      </c>
      <c r="B26" s="124" t="s">
        <v>141</v>
      </c>
      <c r="C26" s="133"/>
      <c r="D26" s="133">
        <f>D22</f>
        <v>8.65</v>
      </c>
      <c r="E26" s="133"/>
      <c r="F26" s="133">
        <f>F22</f>
        <v>0</v>
      </c>
      <c r="G26" s="133"/>
      <c r="H26" s="133">
        <f>H22</f>
        <v>28.94240698675951</v>
      </c>
      <c r="I26" s="133"/>
      <c r="J26" s="133">
        <f>J22</f>
        <v>35.405538168125894</v>
      </c>
    </row>
    <row r="27" spans="1:10" ht="15.75" hidden="1">
      <c r="A27" s="132" t="s">
        <v>142</v>
      </c>
      <c r="B27" s="124" t="s">
        <v>143</v>
      </c>
      <c r="C27" s="134">
        <f>E27+G27+I27</f>
        <v>12.62</v>
      </c>
      <c r="D27" s="134">
        <v>0</v>
      </c>
      <c r="E27" s="134">
        <v>0</v>
      </c>
      <c r="F27" s="134">
        <v>0</v>
      </c>
      <c r="G27" s="134">
        <v>2.94</v>
      </c>
      <c r="H27" s="134">
        <v>0</v>
      </c>
      <c r="I27" s="134">
        <v>9.68</v>
      </c>
      <c r="J27" s="134">
        <v>0</v>
      </c>
    </row>
    <row r="28" spans="1:10" ht="81">
      <c r="A28" s="128">
        <v>6</v>
      </c>
      <c r="B28" s="135" t="s">
        <v>144</v>
      </c>
      <c r="C28" s="136"/>
      <c r="D28" s="136" t="e">
        <f>D29+D30</f>
        <v>#DIV/0!</v>
      </c>
      <c r="E28" s="136"/>
      <c r="F28" s="136" t="e">
        <f>F29+F30</f>
        <v>#DIV/0!</v>
      </c>
      <c r="G28" s="136"/>
      <c r="H28" s="136" t="e">
        <f>H29+H30</f>
        <v>#DIV/0!</v>
      </c>
      <c r="I28" s="136"/>
      <c r="J28" s="136" t="e">
        <f>ROUNDDOWN(J29+J30,2)</f>
        <v>#DIV/0!</v>
      </c>
    </row>
    <row r="29" spans="1:10" ht="15.75">
      <c r="A29" s="132" t="s">
        <v>145</v>
      </c>
      <c r="B29" s="124" t="s">
        <v>146</v>
      </c>
      <c r="C29" s="137"/>
      <c r="D29" s="137" t="e">
        <f>D20</f>
        <v>#DIV/0!</v>
      </c>
      <c r="E29" s="137"/>
      <c r="F29" s="137" t="e">
        <f>F20</f>
        <v>#DIV/0!</v>
      </c>
      <c r="G29" s="137"/>
      <c r="H29" s="137" t="e">
        <f>H20</f>
        <v>#DIV/0!</v>
      </c>
      <c r="I29" s="137"/>
      <c r="J29" s="137" t="e">
        <f>J20</f>
        <v>#DIV/0!</v>
      </c>
    </row>
    <row r="30" spans="1:10" ht="15.75">
      <c r="A30" s="132" t="s">
        <v>147</v>
      </c>
      <c r="B30" s="124" t="s">
        <v>141</v>
      </c>
      <c r="C30" s="137"/>
      <c r="D30" s="137" t="e">
        <f>D23</f>
        <v>#DIV/0!</v>
      </c>
      <c r="E30" s="137"/>
      <c r="F30" s="137" t="e">
        <f>F23</f>
        <v>#DIV/0!</v>
      </c>
      <c r="G30" s="137"/>
      <c r="H30" s="137" t="e">
        <f>H23</f>
        <v>#DIV/0!</v>
      </c>
      <c r="I30" s="137"/>
      <c r="J30" s="137" t="e">
        <f>J23</f>
        <v>#DIV/0!</v>
      </c>
    </row>
    <row r="31" spans="1:10" ht="13.5" hidden="1">
      <c r="A31" s="138" t="s">
        <v>148</v>
      </c>
      <c r="B31" s="139" t="s">
        <v>143</v>
      </c>
      <c r="C31" s="140">
        <v>2.8772614173753674</v>
      </c>
      <c r="D31" s="140"/>
      <c r="E31" s="140">
        <v>0</v>
      </c>
      <c r="F31" s="138">
        <f>E31/$E$11*1000</f>
        <v>0</v>
      </c>
      <c r="G31" s="140">
        <v>15</v>
      </c>
      <c r="H31" s="140"/>
      <c r="I31" s="140">
        <v>23.5</v>
      </c>
      <c r="J31" s="141"/>
    </row>
    <row r="32" spans="1:10" ht="18.75" customHeight="1">
      <c r="A32" s="289" t="s">
        <v>149</v>
      </c>
      <c r="B32" s="289"/>
      <c r="C32" s="289"/>
      <c r="D32" s="289"/>
      <c r="E32" s="289"/>
      <c r="F32" s="289"/>
      <c r="G32" s="289"/>
      <c r="H32" s="289"/>
      <c r="I32" s="289"/>
      <c r="J32" s="289"/>
    </row>
    <row r="33" spans="1:10" ht="48">
      <c r="A33" s="128">
        <v>7</v>
      </c>
      <c r="B33" s="129" t="s">
        <v>150</v>
      </c>
      <c r="C33" s="125" t="e">
        <f>E33+G33+I33</f>
        <v>#REF!</v>
      </c>
      <c r="D33" s="125" t="e">
        <f>C33/12/C12*1000</f>
        <v>#REF!</v>
      </c>
      <c r="E33" s="125" t="e">
        <f>#REF!</f>
        <v>#REF!</v>
      </c>
      <c r="F33" s="125" t="e">
        <f>ROUND(E33/E12/12*1000,24)</f>
        <v>#REF!</v>
      </c>
      <c r="G33" s="125" t="e">
        <f>#REF!</f>
        <v>#REF!</v>
      </c>
      <c r="H33" s="125" t="e">
        <f>ROUND(G33/G12/12*1000,2)</f>
        <v>#REF!</v>
      </c>
      <c r="I33" s="125" t="e">
        <f>#REF!</f>
        <v>#REF!</v>
      </c>
      <c r="J33" s="125" t="e">
        <f>ROUND(I33/I12/12*1000,2)</f>
        <v>#REF!</v>
      </c>
    </row>
    <row r="34" spans="1:10" ht="32.25">
      <c r="A34" s="123">
        <v>8</v>
      </c>
      <c r="B34" s="124" t="s">
        <v>151</v>
      </c>
      <c r="C34" s="133" t="e">
        <f>E34+G34+I34</f>
        <v>#REF!</v>
      </c>
      <c r="D34" s="133" t="e">
        <f>C34/C12/12*1000</f>
        <v>#REF!</v>
      </c>
      <c r="E34" s="133" t="e">
        <f>#REF!</f>
        <v>#REF!</v>
      </c>
      <c r="F34" s="133" t="e">
        <f>E34/E12/12*1000</f>
        <v>#REF!</v>
      </c>
      <c r="G34" s="133" t="e">
        <f>#REF!</f>
        <v>#REF!</v>
      </c>
      <c r="H34" s="133" t="e">
        <f>G34/G12/12*1000</f>
        <v>#REF!</v>
      </c>
      <c r="I34" s="133" t="e">
        <f>#REF!</f>
        <v>#REF!</v>
      </c>
      <c r="J34" s="133" t="e">
        <f>I34/I12/12*1000</f>
        <v>#REF!</v>
      </c>
    </row>
    <row r="35" spans="1:10" ht="64.5">
      <c r="A35" s="128">
        <v>9</v>
      </c>
      <c r="B35" s="129" t="s">
        <v>152</v>
      </c>
      <c r="C35" s="136"/>
      <c r="D35" s="136" t="e">
        <f>D36+D37</f>
        <v>#REF!</v>
      </c>
      <c r="E35" s="136"/>
      <c r="F35" s="136" t="e">
        <f>F36+F37</f>
        <v>#REF!</v>
      </c>
      <c r="G35" s="136"/>
      <c r="H35" s="136" t="e">
        <f>H36+H37</f>
        <v>#REF!</v>
      </c>
      <c r="I35" s="136"/>
      <c r="J35" s="136" t="e">
        <f>J36+J37</f>
        <v>#REF!</v>
      </c>
    </row>
    <row r="36" spans="1:10" ht="15.75">
      <c r="A36" s="132" t="s">
        <v>153</v>
      </c>
      <c r="B36" s="124" t="s">
        <v>146</v>
      </c>
      <c r="C36" s="133"/>
      <c r="D36" s="133" t="e">
        <f>D33</f>
        <v>#REF!</v>
      </c>
      <c r="E36" s="133"/>
      <c r="F36" s="133" t="e">
        <f>F33</f>
        <v>#REF!</v>
      </c>
      <c r="G36" s="133"/>
      <c r="H36" s="133" t="e">
        <f>H33</f>
        <v>#REF!</v>
      </c>
      <c r="I36" s="133"/>
      <c r="J36" s="133" t="e">
        <f>J33</f>
        <v>#REF!</v>
      </c>
    </row>
    <row r="37" spans="1:10" ht="15.75">
      <c r="A37" s="132" t="s">
        <v>154</v>
      </c>
      <c r="B37" s="124" t="s">
        <v>155</v>
      </c>
      <c r="C37" s="133"/>
      <c r="D37" s="133" t="e">
        <f>D34</f>
        <v>#REF!</v>
      </c>
      <c r="E37" s="133"/>
      <c r="F37" s="133" t="e">
        <f>F34</f>
        <v>#REF!</v>
      </c>
      <c r="G37" s="133"/>
      <c r="H37" s="133" t="e">
        <f>H34</f>
        <v>#REF!</v>
      </c>
      <c r="I37" s="133"/>
      <c r="J37" s="133" t="e">
        <f>J34</f>
        <v>#REF!</v>
      </c>
    </row>
    <row r="38" spans="1:10" ht="13.5" hidden="1">
      <c r="A38" s="138" t="s">
        <v>156</v>
      </c>
      <c r="B38" s="139" t="s">
        <v>143</v>
      </c>
      <c r="C38" s="138">
        <v>0.9693480929149638</v>
      </c>
      <c r="D38" s="138"/>
      <c r="E38" s="138">
        <v>0</v>
      </c>
      <c r="F38" s="138"/>
      <c r="G38" s="138">
        <v>3.84</v>
      </c>
      <c r="H38" s="138"/>
      <c r="I38" s="138">
        <v>10.7</v>
      </c>
      <c r="J38" s="142"/>
    </row>
    <row r="39" spans="1:10" ht="18.75" customHeight="1">
      <c r="A39" s="289" t="s">
        <v>157</v>
      </c>
      <c r="B39" s="289"/>
      <c r="C39" s="289"/>
      <c r="D39" s="289"/>
      <c r="E39" s="289"/>
      <c r="F39" s="289"/>
      <c r="G39" s="289"/>
      <c r="H39" s="289"/>
      <c r="I39" s="289"/>
      <c r="J39" s="289"/>
    </row>
    <row r="40" spans="1:10" ht="48">
      <c r="A40" s="128">
        <v>10</v>
      </c>
      <c r="B40" s="129" t="s">
        <v>158</v>
      </c>
      <c r="C40" s="125" t="e">
        <f>E40+G40+I40</f>
        <v>#REF!</v>
      </c>
      <c r="D40" s="125" t="e">
        <f>ROUNDDOWN(C40/12/C12*1000,2)</f>
        <v>#REF!</v>
      </c>
      <c r="E40" s="125" t="e">
        <f>#REF!</f>
        <v>#REF!</v>
      </c>
      <c r="F40" s="125" t="e">
        <f>ROUND(E40/12/E12*1000,2)</f>
        <v>#REF!</v>
      </c>
      <c r="G40" s="125" t="e">
        <f>#REF!</f>
        <v>#REF!</v>
      </c>
      <c r="H40" s="125" t="e">
        <f>ROUND(G40/12/G12*1000,2)</f>
        <v>#REF!</v>
      </c>
      <c r="I40" s="125" t="e">
        <f>#REF!</f>
        <v>#REF!</v>
      </c>
      <c r="J40" s="125" t="e">
        <f>ROUND(I40/12/I12*1000,2)</f>
        <v>#REF!</v>
      </c>
    </row>
    <row r="41" spans="1:10" ht="32.25">
      <c r="A41" s="123">
        <v>11</v>
      </c>
      <c r="B41" s="124" t="s">
        <v>159</v>
      </c>
      <c r="C41" s="133" t="e">
        <f>E41+G41+I41</f>
        <v>#REF!</v>
      </c>
      <c r="D41" s="133" t="e">
        <f>C41/12/C12*1000</f>
        <v>#REF!</v>
      </c>
      <c r="E41" s="133" t="e">
        <f>#REF!</f>
        <v>#REF!</v>
      </c>
      <c r="F41" s="133" t="e">
        <f>E41/12/E12*1000</f>
        <v>#REF!</v>
      </c>
      <c r="G41" s="133" t="e">
        <f>#REF!</f>
        <v>#REF!</v>
      </c>
      <c r="H41" s="133" t="e">
        <f>G41/12/G12*1000</f>
        <v>#REF!</v>
      </c>
      <c r="I41" s="133" t="e">
        <f>#REF!</f>
        <v>#REF!</v>
      </c>
      <c r="J41" s="133" t="e">
        <f>I41/12/I12*1000</f>
        <v>#REF!</v>
      </c>
    </row>
    <row r="42" spans="1:10" ht="64.5">
      <c r="A42" s="128">
        <v>12</v>
      </c>
      <c r="B42" s="129" t="s">
        <v>160</v>
      </c>
      <c r="C42" s="125"/>
      <c r="D42" s="125" t="e">
        <f>D43+D44</f>
        <v>#REF!</v>
      </c>
      <c r="E42" s="125"/>
      <c r="F42" s="125" t="e">
        <f>F43+F44</f>
        <v>#REF!</v>
      </c>
      <c r="G42" s="125"/>
      <c r="H42" s="125" t="e">
        <f>H43+H44</f>
        <v>#REF!</v>
      </c>
      <c r="I42" s="125"/>
      <c r="J42" s="125" t="e">
        <f>H42</f>
        <v>#REF!</v>
      </c>
    </row>
    <row r="43" spans="1:10" ht="15.75">
      <c r="A43" s="132" t="s">
        <v>161</v>
      </c>
      <c r="B43" s="124" t="s">
        <v>146</v>
      </c>
      <c r="C43" s="133"/>
      <c r="D43" s="133" t="e">
        <f>D40</f>
        <v>#REF!</v>
      </c>
      <c r="E43" s="133"/>
      <c r="F43" s="133" t="e">
        <f>F40</f>
        <v>#REF!</v>
      </c>
      <c r="G43" s="133"/>
      <c r="H43" s="133" t="e">
        <f>H40</f>
        <v>#REF!</v>
      </c>
      <c r="I43" s="133"/>
      <c r="J43" s="133" t="e">
        <f>J40</f>
        <v>#REF!</v>
      </c>
    </row>
    <row r="44" spans="1:10" ht="15.75">
      <c r="A44" s="132" t="s">
        <v>162</v>
      </c>
      <c r="B44" s="124" t="s">
        <v>163</v>
      </c>
      <c r="C44" s="133"/>
      <c r="D44" s="133" t="e">
        <f>D41</f>
        <v>#REF!</v>
      </c>
      <c r="E44" s="133"/>
      <c r="F44" s="133" t="e">
        <f>F41</f>
        <v>#REF!</v>
      </c>
      <c r="G44" s="133"/>
      <c r="H44" s="133" t="e">
        <f>H41</f>
        <v>#REF!</v>
      </c>
      <c r="I44" s="133"/>
      <c r="J44" s="133" t="e">
        <f>J41</f>
        <v>#REF!</v>
      </c>
    </row>
    <row r="45" spans="1:10" ht="18.75" customHeight="1">
      <c r="A45" s="290" t="s">
        <v>164</v>
      </c>
      <c r="B45" s="290"/>
      <c r="C45" s="290"/>
      <c r="D45" s="290"/>
      <c r="E45" s="290"/>
      <c r="F45" s="290"/>
      <c r="G45" s="290"/>
      <c r="H45" s="290"/>
      <c r="I45" s="290"/>
      <c r="J45" s="290"/>
    </row>
    <row r="46" spans="1:10" ht="48">
      <c r="A46" s="128">
        <v>13</v>
      </c>
      <c r="B46" s="129" t="s">
        <v>165</v>
      </c>
      <c r="C46" s="125"/>
      <c r="D46" s="125">
        <f>ROUNDUP(D47+D48,2)</f>
        <v>305.06</v>
      </c>
      <c r="E46" s="125"/>
      <c r="F46" s="125">
        <f>F47+F48</f>
        <v>213.69</v>
      </c>
      <c r="G46" s="125"/>
      <c r="H46" s="125">
        <f>H47+H48</f>
        <v>511.3224069867595</v>
      </c>
      <c r="I46" s="125"/>
      <c r="J46" s="125">
        <f>ROUNDDOWN(J47+J48,2)</f>
        <v>625.5</v>
      </c>
    </row>
    <row r="47" spans="1:10" ht="15.75">
      <c r="A47" s="132" t="s">
        <v>166</v>
      </c>
      <c r="B47" s="124" t="s">
        <v>146</v>
      </c>
      <c r="C47" s="133"/>
      <c r="D47" s="133">
        <f>D25</f>
        <v>296.4046</v>
      </c>
      <c r="E47" s="133"/>
      <c r="F47" s="133">
        <f>F25</f>
        <v>213.69</v>
      </c>
      <c r="G47" s="133"/>
      <c r="H47" s="133">
        <f>H25</f>
        <v>482.38</v>
      </c>
      <c r="I47" s="133"/>
      <c r="J47" s="133">
        <f>J25</f>
        <v>590.1</v>
      </c>
    </row>
    <row r="48" spans="1:10" ht="15.75">
      <c r="A48" s="132" t="s">
        <v>167</v>
      </c>
      <c r="B48" s="124" t="s">
        <v>141</v>
      </c>
      <c r="C48" s="133"/>
      <c r="D48" s="133">
        <f>D26</f>
        <v>8.65</v>
      </c>
      <c r="E48" s="133"/>
      <c r="F48" s="133">
        <f>F26</f>
        <v>0</v>
      </c>
      <c r="G48" s="133"/>
      <c r="H48" s="133">
        <f>H26</f>
        <v>28.94240698675951</v>
      </c>
      <c r="I48" s="133"/>
      <c r="J48" s="133">
        <f>J26</f>
        <v>35.405538168125894</v>
      </c>
    </row>
    <row r="49" spans="1:10" ht="15.75" hidden="1">
      <c r="A49" s="132" t="s">
        <v>168</v>
      </c>
      <c r="B49" s="124" t="s">
        <v>143</v>
      </c>
      <c r="C49" s="133"/>
      <c r="D49" s="133">
        <v>0</v>
      </c>
      <c r="E49" s="133"/>
      <c r="F49" s="133">
        <v>0</v>
      </c>
      <c r="G49" s="133"/>
      <c r="H49" s="133">
        <v>0</v>
      </c>
      <c r="I49" s="133"/>
      <c r="J49" s="133">
        <v>0</v>
      </c>
    </row>
    <row r="50" spans="1:10" ht="81">
      <c r="A50" s="128">
        <v>14</v>
      </c>
      <c r="B50" s="129" t="s">
        <v>169</v>
      </c>
      <c r="C50" s="125"/>
      <c r="D50" s="125" t="e">
        <f>D51+D52</f>
        <v>#DIV/0!</v>
      </c>
      <c r="E50" s="125"/>
      <c r="F50" s="125" t="e">
        <f>ROUNDUP(F51+F52,2)</f>
        <v>#DIV/0!</v>
      </c>
      <c r="G50" s="125"/>
      <c r="H50" s="125" t="e">
        <f>H51+H52</f>
        <v>#DIV/0!</v>
      </c>
      <c r="I50" s="125"/>
      <c r="J50" s="125" t="e">
        <f>J51+J52</f>
        <v>#DIV/0!</v>
      </c>
    </row>
    <row r="51" spans="1:10" ht="15.75">
      <c r="A51" s="132" t="s">
        <v>170</v>
      </c>
      <c r="B51" s="124" t="s">
        <v>146</v>
      </c>
      <c r="C51" s="133"/>
      <c r="D51" s="133" t="e">
        <f>D29+D36+D43</f>
        <v>#DIV/0!</v>
      </c>
      <c r="E51" s="133"/>
      <c r="F51" s="133" t="e">
        <f>ROUNDUP(F29+F36+F43,2)</f>
        <v>#DIV/0!</v>
      </c>
      <c r="G51" s="133"/>
      <c r="H51" s="133" t="e">
        <f>H29+H36+H43</f>
        <v>#DIV/0!</v>
      </c>
      <c r="I51" s="133"/>
      <c r="J51" s="133" t="e">
        <f>J29+J36+J43</f>
        <v>#DIV/0!</v>
      </c>
    </row>
    <row r="52" spans="1:10" ht="15.75">
      <c r="A52" s="132" t="s">
        <v>171</v>
      </c>
      <c r="B52" s="124" t="s">
        <v>141</v>
      </c>
      <c r="C52" s="133"/>
      <c r="D52" s="133" t="e">
        <f>D30+D37+D44</f>
        <v>#DIV/0!</v>
      </c>
      <c r="E52" s="133"/>
      <c r="F52" s="133" t="e">
        <f>F30+F37+F44</f>
        <v>#DIV/0!</v>
      </c>
      <c r="G52" s="133"/>
      <c r="H52" s="133" t="e">
        <f>H30+H37+H44</f>
        <v>#DIV/0!</v>
      </c>
      <c r="I52" s="133"/>
      <c r="J52" s="133" t="e">
        <f>J30+J37+J44</f>
        <v>#DIV/0!</v>
      </c>
    </row>
    <row r="53" spans="1:10" ht="13.5" hidden="1">
      <c r="A53" s="143" t="s">
        <v>172</v>
      </c>
      <c r="B53" s="144" t="s">
        <v>143</v>
      </c>
      <c r="C53" s="145">
        <v>1.9263131866225296</v>
      </c>
      <c r="D53" s="145"/>
      <c r="E53" s="145">
        <v>0</v>
      </c>
      <c r="F53" s="145"/>
      <c r="G53" s="145">
        <v>9.878633500908602</v>
      </c>
      <c r="H53" s="145"/>
      <c r="I53" s="145">
        <v>17.62603125552242</v>
      </c>
      <c r="J53" s="146"/>
    </row>
    <row r="54" spans="1:10" ht="13.5">
      <c r="A54" s="116"/>
      <c r="B54" s="116"/>
      <c r="C54" s="116"/>
      <c r="D54" s="116"/>
      <c r="E54" s="116"/>
      <c r="F54" s="116"/>
      <c r="G54" s="116"/>
      <c r="H54" s="116"/>
      <c r="I54" s="116"/>
      <c r="J54" s="146"/>
    </row>
    <row r="55" spans="1:10" ht="13.5">
      <c r="A55" s="116"/>
      <c r="B55" s="116"/>
      <c r="C55" s="116"/>
      <c r="D55" s="116"/>
      <c r="E55" s="116"/>
      <c r="F55" s="116"/>
      <c r="G55" s="116"/>
      <c r="H55" s="116"/>
      <c r="I55" s="116"/>
      <c r="J55" s="146"/>
    </row>
    <row r="56" spans="1:10" ht="18">
      <c r="A56" s="147" t="s">
        <v>173</v>
      </c>
      <c r="B56" s="147"/>
      <c r="C56" s="148"/>
      <c r="D56" s="148"/>
      <c r="E56" s="148"/>
      <c r="F56" s="148"/>
      <c r="G56" s="148"/>
      <c r="H56" s="147" t="s">
        <v>174</v>
      </c>
      <c r="J56" s="147"/>
    </row>
  </sheetData>
  <sheetProtection selectLockedCells="1" selectUnlockedCells="1"/>
  <mergeCells count="12">
    <mergeCell ref="A5:J5"/>
    <mergeCell ref="A6:J6"/>
    <mergeCell ref="A8:A9"/>
    <mergeCell ref="B8:B9"/>
    <mergeCell ref="C8:D8"/>
    <mergeCell ref="E8:F8"/>
    <mergeCell ref="G8:H8"/>
    <mergeCell ref="I8:J8"/>
    <mergeCell ref="A13:J13"/>
    <mergeCell ref="A32:J32"/>
    <mergeCell ref="A39:J39"/>
    <mergeCell ref="A45:J45"/>
  </mergeCells>
  <printOptions horizontalCentered="1"/>
  <pageMargins left="0" right="0" top="0.3" bottom="0.1701388888888889" header="0.5118055555555555" footer="0.5118055555555555"/>
  <pageSetup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22"/>
  <sheetViews>
    <sheetView view="pageBreakPreview" zoomScaleSheetLayoutView="100" zoomScalePageLayoutView="0" workbookViewId="0" topLeftCell="A10">
      <selection activeCell="C38" sqref="C38"/>
    </sheetView>
  </sheetViews>
  <sheetFormatPr defaultColWidth="9.140625" defaultRowHeight="12.75"/>
  <cols>
    <col min="1" max="1" width="7.28125" style="149" customWidth="1"/>
    <col min="2" max="2" width="46.7109375" style="149" customWidth="1"/>
    <col min="3" max="3" width="37.7109375" style="149" customWidth="1"/>
    <col min="4" max="5" width="9.140625" style="149" customWidth="1"/>
    <col min="6" max="6" width="33.57421875" style="149" customWidth="1"/>
    <col min="7" max="16384" width="9.140625" style="149" customWidth="1"/>
  </cols>
  <sheetData>
    <row r="1" spans="3:13" ht="15">
      <c r="C1" s="150" t="s">
        <v>175</v>
      </c>
      <c r="D1" s="151"/>
      <c r="E1" s="151"/>
      <c r="F1" s="151"/>
      <c r="G1" s="151"/>
      <c r="H1" s="151"/>
      <c r="I1" s="152"/>
      <c r="J1" s="152"/>
      <c r="K1" s="152"/>
      <c r="L1" s="152"/>
      <c r="M1" s="153"/>
    </row>
    <row r="2" spans="3:13" ht="15">
      <c r="C2" s="154" t="s">
        <v>176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3:13" ht="15">
      <c r="C3" s="156" t="s">
        <v>177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3:13" ht="15"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7" spans="2:3" ht="16.5">
      <c r="B7" s="292" t="s">
        <v>178</v>
      </c>
      <c r="C7" s="292"/>
    </row>
    <row r="8" spans="2:3" ht="16.5" customHeight="1">
      <c r="B8" s="292" t="str">
        <f>Додаток1!A6&amp;" на 2014 рік"</f>
        <v>по КП "Лисичанськтепломережа" за 6 месяці  2019р. на 2014 рік</v>
      </c>
      <c r="C8" s="292"/>
    </row>
    <row r="12" spans="2:3" ht="15">
      <c r="B12" s="158" t="s">
        <v>179</v>
      </c>
      <c r="C12" s="158" t="s">
        <v>180</v>
      </c>
    </row>
    <row r="13" spans="2:3" ht="15">
      <c r="B13" s="159" t="s">
        <v>181</v>
      </c>
      <c r="C13" s="160" t="e">
        <f>C14*1.2</f>
        <v>#REF!</v>
      </c>
    </row>
    <row r="14" spans="2:3" ht="15">
      <c r="B14" s="159" t="s">
        <v>182</v>
      </c>
      <c r="C14" s="160" t="e">
        <f>C15+C16+C17</f>
        <v>#REF!</v>
      </c>
    </row>
    <row r="15" spans="2:3" ht="15">
      <c r="B15" s="159" t="s">
        <v>183</v>
      </c>
      <c r="C15" s="160">
        <v>1526016.468158548</v>
      </c>
    </row>
    <row r="16" spans="2:6" ht="62.25">
      <c r="B16" s="159" t="s">
        <v>184</v>
      </c>
      <c r="C16" s="160" t="e">
        <f>Додаток1!C41*1000</f>
        <v>#REF!</v>
      </c>
      <c r="F16" s="161"/>
    </row>
    <row r="17" spans="2:3" ht="15">
      <c r="B17" s="159" t="s">
        <v>185</v>
      </c>
      <c r="C17" s="160">
        <v>0</v>
      </c>
    </row>
    <row r="20" spans="1:8" ht="58.5" customHeight="1">
      <c r="A20" s="162" t="s">
        <v>186</v>
      </c>
      <c r="B20" s="293" t="s">
        <v>187</v>
      </c>
      <c r="C20" s="293"/>
      <c r="D20" s="293"/>
      <c r="E20" s="163"/>
      <c r="F20" s="106"/>
      <c r="G20" s="106"/>
      <c r="H20" s="107"/>
    </row>
    <row r="21" spans="1:10" ht="14.25">
      <c r="A21" s="164"/>
      <c r="B21" s="164"/>
      <c r="C21" s="164"/>
      <c r="D21" s="164"/>
      <c r="E21" s="165"/>
      <c r="F21" s="165"/>
      <c r="G21" s="165"/>
      <c r="H21" s="165"/>
      <c r="I21" s="166"/>
      <c r="J21" s="167"/>
    </row>
    <row r="22" spans="1:4" s="169" customFormat="1" ht="45" customHeight="1">
      <c r="A22" s="168"/>
      <c r="B22" s="293" t="s">
        <v>188</v>
      </c>
      <c r="C22" s="293"/>
      <c r="D22" s="293"/>
    </row>
  </sheetData>
  <sheetProtection selectLockedCells="1" selectUnlockedCells="1"/>
  <mergeCells count="4">
    <mergeCell ref="B7:C7"/>
    <mergeCell ref="B8:C8"/>
    <mergeCell ref="B20:D20"/>
    <mergeCell ref="B22:D22"/>
  </mergeCells>
  <printOptions/>
  <pageMargins left="0.7" right="0.7" top="0.75" bottom="0.75" header="0.5118055555555555" footer="0.5118055555555555"/>
  <pageSetup horizontalDpi="300" verticalDpi="300" orientation="portrait" paperSize="9" scale="97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7"/>
  <sheetViews>
    <sheetView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0" sqref="J40"/>
    </sheetView>
  </sheetViews>
  <sheetFormatPr defaultColWidth="11.57421875" defaultRowHeight="12.75"/>
  <cols>
    <col min="1" max="1" width="6.421875" style="170" customWidth="1"/>
    <col min="2" max="2" width="52.28125" style="170" customWidth="1"/>
    <col min="3" max="3" width="11.8515625" style="170" customWidth="1"/>
    <col min="4" max="4" width="12.57421875" style="171" customWidth="1"/>
    <col min="5" max="5" width="11.28125" style="171" customWidth="1"/>
    <col min="6" max="6" width="13.421875" style="171" customWidth="1"/>
    <col min="7" max="7" width="10.28125" style="171" customWidth="1"/>
    <col min="8" max="8" width="12.421875" style="171" customWidth="1"/>
    <col min="9" max="9" width="10.28125" style="171" customWidth="1"/>
    <col min="10" max="10" width="12.7109375" style="171" customWidth="1"/>
    <col min="11" max="20" width="0" style="170" hidden="1" customWidth="1"/>
    <col min="21" max="21" width="8.00390625" style="170" customWidth="1"/>
    <col min="22" max="16384" width="11.57421875" style="170" customWidth="1"/>
  </cols>
  <sheetData>
    <row r="1" spans="5:15" ht="18.75">
      <c r="E1" s="172"/>
      <c r="F1" s="172"/>
      <c r="H1" s="173" t="s">
        <v>110</v>
      </c>
      <c r="I1" s="174"/>
      <c r="J1" s="175"/>
      <c r="K1" s="108"/>
      <c r="L1" s="108"/>
      <c r="M1" s="108"/>
      <c r="N1" s="108"/>
      <c r="O1" s="108"/>
    </row>
    <row r="2" spans="5:15" ht="18.75">
      <c r="E2" s="172"/>
      <c r="F2" s="172"/>
      <c r="H2" s="9" t="s">
        <v>108</v>
      </c>
      <c r="I2" s="176"/>
      <c r="J2" s="175"/>
      <c r="K2" s="108"/>
      <c r="L2" s="108"/>
      <c r="M2" s="108"/>
      <c r="N2" s="108"/>
      <c r="O2" s="108"/>
    </row>
    <row r="3" spans="5:15" ht="18.75">
      <c r="E3" s="172"/>
      <c r="F3" s="172"/>
      <c r="H3" s="9" t="s">
        <v>189</v>
      </c>
      <c r="I3" s="176"/>
      <c r="J3" s="175"/>
      <c r="K3" s="108"/>
      <c r="L3" s="108"/>
      <c r="M3" s="108"/>
      <c r="N3" s="108"/>
      <c r="O3" s="108"/>
    </row>
    <row r="5" spans="1:10" ht="23.25" customHeight="1">
      <c r="A5" s="266" t="s">
        <v>190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0" ht="15.75" customHeight="1">
      <c r="A6" s="177"/>
      <c r="B6" s="177"/>
      <c r="C6" s="294"/>
      <c r="D6" s="294"/>
      <c r="E6" s="294"/>
      <c r="F6" s="294"/>
      <c r="G6" s="294"/>
      <c r="H6" s="178"/>
      <c r="J6" s="179" t="s">
        <v>113</v>
      </c>
    </row>
    <row r="7" spans="1:20" ht="48" customHeight="1">
      <c r="A7" s="268" t="s">
        <v>191</v>
      </c>
      <c r="B7" s="295" t="s">
        <v>2</v>
      </c>
      <c r="C7" s="296" t="s">
        <v>107</v>
      </c>
      <c r="D7" s="296"/>
      <c r="E7" s="296" t="s">
        <v>115</v>
      </c>
      <c r="F7" s="296"/>
      <c r="G7" s="296" t="s">
        <v>116</v>
      </c>
      <c r="H7" s="296"/>
      <c r="I7" s="296" t="s">
        <v>117</v>
      </c>
      <c r="J7" s="296"/>
      <c r="K7" s="268" t="s">
        <v>191</v>
      </c>
      <c r="L7" s="295" t="s">
        <v>2</v>
      </c>
      <c r="M7" s="296" t="s">
        <v>107</v>
      </c>
      <c r="N7" s="296"/>
      <c r="O7" s="296" t="s">
        <v>4</v>
      </c>
      <c r="P7" s="296"/>
      <c r="Q7" s="296" t="s">
        <v>109</v>
      </c>
      <c r="R7" s="296"/>
      <c r="S7" s="296" t="s">
        <v>192</v>
      </c>
      <c r="T7" s="296"/>
    </row>
    <row r="8" spans="1:20" ht="57.75" customHeight="1">
      <c r="A8" s="268"/>
      <c r="B8" s="295"/>
      <c r="C8" s="180" t="s">
        <v>9</v>
      </c>
      <c r="D8" s="180" t="s">
        <v>118</v>
      </c>
      <c r="E8" s="180" t="s">
        <v>9</v>
      </c>
      <c r="F8" s="180" t="s">
        <v>118</v>
      </c>
      <c r="G8" s="180" t="s">
        <v>9</v>
      </c>
      <c r="H8" s="180" t="s">
        <v>118</v>
      </c>
      <c r="I8" s="180" t="s">
        <v>9</v>
      </c>
      <c r="J8" s="180" t="s">
        <v>118</v>
      </c>
      <c r="K8" s="268"/>
      <c r="L8" s="295"/>
      <c r="M8" s="180" t="s">
        <v>9</v>
      </c>
      <c r="N8" s="180" t="s">
        <v>118</v>
      </c>
      <c r="O8" s="180" t="s">
        <v>9</v>
      </c>
      <c r="P8" s="180" t="s">
        <v>118</v>
      </c>
      <c r="Q8" s="180" t="s">
        <v>9</v>
      </c>
      <c r="R8" s="180" t="s">
        <v>118</v>
      </c>
      <c r="S8" s="180" t="s">
        <v>9</v>
      </c>
      <c r="T8" s="180" t="s">
        <v>118</v>
      </c>
    </row>
    <row r="9" spans="1:20" ht="13.5">
      <c r="A9" s="181">
        <v>1</v>
      </c>
      <c r="B9" s="182">
        <v>2</v>
      </c>
      <c r="C9" s="182">
        <v>3</v>
      </c>
      <c r="D9" s="183">
        <v>4</v>
      </c>
      <c r="E9" s="183">
        <v>5</v>
      </c>
      <c r="F9" s="183">
        <v>6</v>
      </c>
      <c r="G9" s="183">
        <v>7</v>
      </c>
      <c r="H9" s="183">
        <v>8</v>
      </c>
      <c r="I9" s="183">
        <v>9</v>
      </c>
      <c r="J9" s="184">
        <v>10</v>
      </c>
      <c r="K9" s="181">
        <v>1</v>
      </c>
      <c r="L9" s="182">
        <v>2</v>
      </c>
      <c r="M9" s="182">
        <v>3</v>
      </c>
      <c r="N9" s="183">
        <v>4</v>
      </c>
      <c r="O9" s="183">
        <v>5</v>
      </c>
      <c r="P9" s="183">
        <v>6</v>
      </c>
      <c r="Q9" s="183">
        <v>7</v>
      </c>
      <c r="R9" s="183">
        <v>8</v>
      </c>
      <c r="S9" s="183">
        <v>9</v>
      </c>
      <c r="T9" s="184">
        <v>10</v>
      </c>
    </row>
    <row r="10" spans="1:20" ht="32.25">
      <c r="A10" s="185">
        <v>1</v>
      </c>
      <c r="B10" s="186" t="s">
        <v>61</v>
      </c>
      <c r="C10" s="187">
        <f>E10+G10+I10</f>
        <v>301857.36</v>
      </c>
      <c r="D10" s="188"/>
      <c r="E10" s="187">
        <f>Додаток1!E45</f>
        <v>150928.68</v>
      </c>
      <c r="F10" s="22"/>
      <c r="G10" s="187">
        <f>Додаток1!G45</f>
        <v>150928.68</v>
      </c>
      <c r="H10" s="22"/>
      <c r="I10" s="187">
        <f>Додаток1!L45</f>
        <v>0</v>
      </c>
      <c r="J10" s="189"/>
      <c r="K10" s="185"/>
      <c r="L10" s="186"/>
      <c r="M10" s="71">
        <v>61301.9</v>
      </c>
      <c r="N10" s="190"/>
      <c r="O10" s="71">
        <v>52178.1</v>
      </c>
      <c r="P10" s="25"/>
      <c r="Q10" s="71">
        <v>7235</v>
      </c>
      <c r="R10" s="25"/>
      <c r="S10" s="71">
        <v>1888.8</v>
      </c>
      <c r="T10" s="189"/>
    </row>
    <row r="11" spans="1:20" ht="32.25" customHeight="1">
      <c r="A11" s="185">
        <v>2</v>
      </c>
      <c r="B11" s="186" t="s">
        <v>119</v>
      </c>
      <c r="C11" s="191">
        <f>SUM(E11,G11,I11)</f>
        <v>185.72670000000002</v>
      </c>
      <c r="D11" s="65"/>
      <c r="E11" s="192">
        <v>142.88998</v>
      </c>
      <c r="F11" s="65"/>
      <c r="G11" s="192">
        <v>36.582639</v>
      </c>
      <c r="H11" s="65"/>
      <c r="I11" s="192">
        <v>6.254081</v>
      </c>
      <c r="J11" s="189"/>
      <c r="K11" s="185"/>
      <c r="L11" s="186"/>
      <c r="M11" s="193">
        <v>32.722918924593344</v>
      </c>
      <c r="N11" s="71"/>
      <c r="O11" s="193">
        <v>27.848518924593343</v>
      </c>
      <c r="P11" s="71"/>
      <c r="Q11" s="193">
        <v>3.7959280000000013</v>
      </c>
      <c r="R11" s="71"/>
      <c r="S11" s="193">
        <v>1.0784720000000003</v>
      </c>
      <c r="T11" s="189"/>
    </row>
    <row r="12" spans="1:20" ht="18.75" customHeight="1">
      <c r="A12" s="298" t="s">
        <v>120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</row>
    <row r="13" spans="1:23" s="198" customFormat="1" ht="32.25">
      <c r="A13" s="194">
        <v>3</v>
      </c>
      <c r="B13" s="195" t="s">
        <v>121</v>
      </c>
      <c r="C13" s="187">
        <f>C14+C18</f>
        <v>88644.66277600001</v>
      </c>
      <c r="D13" s="65"/>
      <c r="E13" s="187">
        <f>E14+E18</f>
        <v>44278.158012398184</v>
      </c>
      <c r="F13" s="65"/>
      <c r="G13" s="187">
        <f>G14+G18</f>
        <v>36690.70282735465</v>
      </c>
      <c r="H13" s="65"/>
      <c r="I13" s="187">
        <f>I14+I18</f>
        <v>7675.801936247172</v>
      </c>
      <c r="J13" s="65"/>
      <c r="K13" s="94"/>
      <c r="L13" s="196"/>
      <c r="M13" s="197">
        <f>ROUND(C13,2)</f>
        <v>88644.66</v>
      </c>
      <c r="N13" s="65"/>
      <c r="O13" s="197">
        <f aca="true" t="shared" si="0" ref="O13:O52">ROUND(E13,2)</f>
        <v>44278.16</v>
      </c>
      <c r="P13" s="65"/>
      <c r="Q13" s="197">
        <f aca="true" t="shared" si="1" ref="Q13:Q52">ROUND(G13,2)</f>
        <v>36690.7</v>
      </c>
      <c r="R13" s="65"/>
      <c r="S13" s="197">
        <f aca="true" t="shared" si="2" ref="S13:S52">ROUND(I13,2)</f>
        <v>7675.8</v>
      </c>
      <c r="T13" s="65"/>
      <c r="V13" s="199"/>
      <c r="W13" s="199"/>
    </row>
    <row r="14" spans="1:21" s="198" customFormat="1" ht="15.75">
      <c r="A14" s="194" t="s">
        <v>43</v>
      </c>
      <c r="B14" s="195" t="s">
        <v>193</v>
      </c>
      <c r="C14" s="187">
        <f>SUM(C15:C17)</f>
        <v>71757.95379</v>
      </c>
      <c r="D14" s="187">
        <f>ROUND(C14/C10*1000,2)</f>
        <v>237.72</v>
      </c>
      <c r="E14" s="187">
        <f>SUM(E15:E17)</f>
        <v>32252.656793252594</v>
      </c>
      <c r="F14" s="187">
        <f>ROUND(E14/E10*1000,2)</f>
        <v>213.69</v>
      </c>
      <c r="G14" s="187">
        <f>SUM(G15:G17)</f>
        <v>32670.527392120468</v>
      </c>
      <c r="H14" s="187">
        <f>ROUND(G14/G10*1000,2)</f>
        <v>216.46</v>
      </c>
      <c r="I14" s="187">
        <f>SUM(I15:I17)</f>
        <v>6834.769604626937</v>
      </c>
      <c r="J14" s="187" t="e">
        <f>ROUND(I14/I10*1000,2)</f>
        <v>#DIV/0!</v>
      </c>
      <c r="K14" s="101"/>
      <c r="L14" s="196"/>
      <c r="M14" s="200">
        <f aca="true" t="shared" si="3" ref="M14:M52">ROUND(C14,2)</f>
        <v>71757.95</v>
      </c>
      <c r="N14" s="187">
        <f aca="true" t="shared" si="4" ref="N14:N52">ROUND(D14,2)</f>
        <v>237.72</v>
      </c>
      <c r="O14" s="197">
        <f t="shared" si="0"/>
        <v>32252.66</v>
      </c>
      <c r="P14" s="187">
        <f aca="true" t="shared" si="5" ref="P14:P52">ROUND(F14,2)</f>
        <v>213.69</v>
      </c>
      <c r="Q14" s="197">
        <f t="shared" si="1"/>
        <v>32670.53</v>
      </c>
      <c r="R14" s="187">
        <f aca="true" t="shared" si="6" ref="R14:R52">ROUND(H14,2)</f>
        <v>216.46</v>
      </c>
      <c r="S14" s="197">
        <f t="shared" si="2"/>
        <v>6834.77</v>
      </c>
      <c r="T14" s="187" t="e">
        <f aca="true" t="shared" si="7" ref="T14:T52">ROUND(J14,2)</f>
        <v>#DIV/0!</v>
      </c>
      <c r="U14" s="199"/>
    </row>
    <row r="15" spans="1:21" ht="32.25" customHeight="1">
      <c r="A15" s="28" t="s">
        <v>123</v>
      </c>
      <c r="B15" s="201" t="s">
        <v>124</v>
      </c>
      <c r="C15" s="202">
        <f>E15+G15+I15</f>
        <v>63225</v>
      </c>
      <c r="D15" s="202">
        <f>C15/$C$10*1000</f>
        <v>209.4532331429653</v>
      </c>
      <c r="E15" s="202">
        <f>'Додаток2 скор'!H10</f>
        <v>26176.1</v>
      </c>
      <c r="F15" s="202">
        <f>E15/$E$10*1000</f>
        <v>173.43357140604422</v>
      </c>
      <c r="G15" s="202">
        <f>'Додаток2 скор'!M10</f>
        <v>30639.109</v>
      </c>
      <c r="H15" s="202">
        <f>G15/$G$10*1000</f>
        <v>203.003888989157</v>
      </c>
      <c r="I15" s="202">
        <f>'Додаток2 скор'!R10</f>
        <v>6409.791</v>
      </c>
      <c r="J15" s="202" t="e">
        <f>I15/$I$10*1000</f>
        <v>#DIV/0!</v>
      </c>
      <c r="K15" s="95"/>
      <c r="L15" s="186"/>
      <c r="M15" s="203">
        <f t="shared" si="3"/>
        <v>63225</v>
      </c>
      <c r="N15" s="202">
        <f t="shared" si="4"/>
        <v>209.45</v>
      </c>
      <c r="O15" s="203">
        <f t="shared" si="0"/>
        <v>26176.1</v>
      </c>
      <c r="P15" s="202">
        <f t="shared" si="5"/>
        <v>173.43</v>
      </c>
      <c r="Q15" s="203">
        <f t="shared" si="1"/>
        <v>30639.11</v>
      </c>
      <c r="R15" s="202">
        <f t="shared" si="6"/>
        <v>203</v>
      </c>
      <c r="S15" s="203">
        <f t="shared" si="2"/>
        <v>6409.79</v>
      </c>
      <c r="T15" s="202" t="e">
        <f t="shared" si="7"/>
        <v>#DIV/0!</v>
      </c>
      <c r="U15" s="199"/>
    </row>
    <row r="16" spans="1:21" ht="32.25">
      <c r="A16" s="28" t="s">
        <v>125</v>
      </c>
      <c r="B16" s="201" t="s">
        <v>126</v>
      </c>
      <c r="C16" s="202">
        <f>E16+G16+I16</f>
        <v>8532.95379</v>
      </c>
      <c r="D16" s="202">
        <f>C16/$C$10*1000</f>
        <v>28.268165434164004</v>
      </c>
      <c r="E16" s="202">
        <f>'Додаток2 скор'!H13</f>
        <v>6076.556793252597</v>
      </c>
      <c r="F16" s="202">
        <f>E16/$E$10*1000</f>
        <v>40.26111401260911</v>
      </c>
      <c r="G16" s="202">
        <f>'Додаток2 скор'!M13</f>
        <v>2031.4183921204665</v>
      </c>
      <c r="H16" s="202">
        <f>G16/$G$10*1000</f>
        <v>13.459459077760878</v>
      </c>
      <c r="I16" s="202">
        <f>'Додаток2 скор'!R13</f>
        <v>424.97860462693626</v>
      </c>
      <c r="J16" s="202" t="e">
        <f>I16/$I$10*1000</f>
        <v>#DIV/0!</v>
      </c>
      <c r="K16" s="95"/>
      <c r="L16" s="186"/>
      <c r="M16" s="203">
        <f t="shared" si="3"/>
        <v>8532.95</v>
      </c>
      <c r="N16" s="202">
        <f t="shared" si="4"/>
        <v>28.27</v>
      </c>
      <c r="O16" s="203">
        <f t="shared" si="0"/>
        <v>6076.56</v>
      </c>
      <c r="P16" s="202">
        <f t="shared" si="5"/>
        <v>40.26</v>
      </c>
      <c r="Q16" s="203">
        <f t="shared" si="1"/>
        <v>2031.42</v>
      </c>
      <c r="R16" s="202">
        <f t="shared" si="6"/>
        <v>13.46</v>
      </c>
      <c r="S16" s="203">
        <f t="shared" si="2"/>
        <v>424.98</v>
      </c>
      <c r="T16" s="202" t="e">
        <f t="shared" si="7"/>
        <v>#DIV/0!</v>
      </c>
      <c r="U16" s="199"/>
    </row>
    <row r="17" spans="1:21" ht="51.75" customHeight="1">
      <c r="A17" s="28" t="s">
        <v>127</v>
      </c>
      <c r="B17" s="201" t="s">
        <v>194</v>
      </c>
      <c r="C17" s="202">
        <f>E17+G17+I17</f>
        <v>0</v>
      </c>
      <c r="D17" s="202">
        <f>C17/$C$10*1000</f>
        <v>0</v>
      </c>
      <c r="E17" s="202">
        <f>'Додаток2 скор'!H14</f>
        <v>0</v>
      </c>
      <c r="F17" s="202">
        <f>E17/$E$10*1000</f>
        <v>0</v>
      </c>
      <c r="G17" s="202">
        <f>'Додаток2 скор'!M14</f>
        <v>0</v>
      </c>
      <c r="H17" s="202">
        <f>G17/$G$10*1000</f>
        <v>0</v>
      </c>
      <c r="I17" s="202">
        <f>'Додаток2 скор'!R14</f>
        <v>0</v>
      </c>
      <c r="J17" s="202" t="e">
        <f>I17/$I$10*1000</f>
        <v>#DIV/0!</v>
      </c>
      <c r="K17" s="95"/>
      <c r="L17" s="186"/>
      <c r="M17" s="203">
        <f t="shared" si="3"/>
        <v>0</v>
      </c>
      <c r="N17" s="202">
        <f t="shared" si="4"/>
        <v>0</v>
      </c>
      <c r="O17" s="203">
        <f t="shared" si="0"/>
        <v>0</v>
      </c>
      <c r="P17" s="202">
        <f t="shared" si="5"/>
        <v>0</v>
      </c>
      <c r="Q17" s="203">
        <f t="shared" si="1"/>
        <v>0</v>
      </c>
      <c r="R17" s="202">
        <f t="shared" si="6"/>
        <v>0</v>
      </c>
      <c r="S17" s="203">
        <f t="shared" si="2"/>
        <v>0</v>
      </c>
      <c r="T17" s="202" t="e">
        <f t="shared" si="7"/>
        <v>#DIV/0!</v>
      </c>
      <c r="U17" s="199"/>
    </row>
    <row r="18" spans="1:21" s="198" customFormat="1" ht="51.75" customHeight="1">
      <c r="A18" s="194" t="s">
        <v>45</v>
      </c>
      <c r="B18" s="195" t="s">
        <v>195</v>
      </c>
      <c r="C18" s="187">
        <f>E18+G18+I18</f>
        <v>16886.708986000012</v>
      </c>
      <c r="D18" s="187">
        <f>ROUND(C18/C11/12*1000,2)</f>
        <v>7576.86</v>
      </c>
      <c r="E18" s="187">
        <f>'Додаток2 скор'!H48-'Додаток 5'!E14</f>
        <v>12025.50121914559</v>
      </c>
      <c r="F18" s="187">
        <f>ROUND(E18/E11/12*1000,2)</f>
        <v>7013.26</v>
      </c>
      <c r="G18" s="187">
        <f>'Додаток2 скор'!M41-'Додаток 5'!G14</f>
        <v>4020.175435234185</v>
      </c>
      <c r="H18" s="187">
        <f>ROUND(G18/G11/12*1000,2)</f>
        <v>9157.75</v>
      </c>
      <c r="I18" s="187">
        <f>'Додаток2 скор'!R41-'Додаток 5'!I14</f>
        <v>841.0323316202357</v>
      </c>
      <c r="J18" s="187">
        <f>ROUND(I18/I11/12*1000,2)</f>
        <v>11206.45</v>
      </c>
      <c r="K18" s="101"/>
      <c r="L18" s="196"/>
      <c r="M18" s="197">
        <f t="shared" si="3"/>
        <v>16886.71</v>
      </c>
      <c r="N18" s="187">
        <f t="shared" si="4"/>
        <v>7576.86</v>
      </c>
      <c r="O18" s="197">
        <f t="shared" si="0"/>
        <v>12025.5</v>
      </c>
      <c r="P18" s="187">
        <f t="shared" si="5"/>
        <v>7013.26</v>
      </c>
      <c r="Q18" s="197">
        <f t="shared" si="1"/>
        <v>4020.18</v>
      </c>
      <c r="R18" s="187">
        <f t="shared" si="6"/>
        <v>9157.75</v>
      </c>
      <c r="S18" s="197">
        <f t="shared" si="2"/>
        <v>841.03</v>
      </c>
      <c r="T18" s="187">
        <f t="shared" si="7"/>
        <v>11206.45</v>
      </c>
      <c r="U18" s="199"/>
    </row>
    <row r="19" spans="1:20" s="198" customFormat="1" ht="34.5" customHeight="1">
      <c r="A19" s="194">
        <v>4</v>
      </c>
      <c r="B19" s="195" t="s">
        <v>132</v>
      </c>
      <c r="C19" s="187">
        <f aca="true" t="shared" si="8" ref="C19:C25">E19+G19+I19</f>
        <v>6713.228999999999</v>
      </c>
      <c r="D19" s="65"/>
      <c r="E19" s="187">
        <f>E20+E21</f>
        <v>0</v>
      </c>
      <c r="F19" s="65"/>
      <c r="G19" s="187">
        <f>G20+G21</f>
        <v>5733.11</v>
      </c>
      <c r="H19" s="65"/>
      <c r="I19" s="187">
        <f>I20+I21</f>
        <v>980.1189999999999</v>
      </c>
      <c r="J19" s="65"/>
      <c r="K19" s="94"/>
      <c r="L19" s="196"/>
      <c r="M19" s="197">
        <f t="shared" si="3"/>
        <v>6713.23</v>
      </c>
      <c r="N19" s="65"/>
      <c r="O19" s="197">
        <f t="shared" si="0"/>
        <v>0</v>
      </c>
      <c r="P19" s="65"/>
      <c r="Q19" s="197">
        <f t="shared" si="1"/>
        <v>5733.11</v>
      </c>
      <c r="R19" s="65"/>
      <c r="S19" s="197">
        <f t="shared" si="2"/>
        <v>980.12</v>
      </c>
      <c r="T19" s="65"/>
    </row>
    <row r="20" spans="1:20" ht="15.75">
      <c r="A20" s="28" t="s">
        <v>133</v>
      </c>
      <c r="B20" s="201" t="s">
        <v>134</v>
      </c>
      <c r="C20" s="202">
        <f t="shared" si="8"/>
        <v>5979.835</v>
      </c>
      <c r="D20" s="202">
        <f>ROUND(C20/C10*1000,2)</f>
        <v>19.81</v>
      </c>
      <c r="E20" s="71">
        <v>0</v>
      </c>
      <c r="F20" s="202">
        <f>ROUND(E20/E10*1000,2)</f>
        <v>0</v>
      </c>
      <c r="G20" s="71">
        <v>5106.79</v>
      </c>
      <c r="H20" s="202">
        <f>ROUND(G20/G10*1000,2)</f>
        <v>33.84</v>
      </c>
      <c r="I20" s="71">
        <v>873.045</v>
      </c>
      <c r="J20" s="202" t="e">
        <f>ROUND(I20/I10*1000,2)</f>
        <v>#DIV/0!</v>
      </c>
      <c r="K20" s="95"/>
      <c r="L20" s="186"/>
      <c r="M20" s="203">
        <f t="shared" si="3"/>
        <v>5979.84</v>
      </c>
      <c r="N20" s="202">
        <f t="shared" si="4"/>
        <v>19.81</v>
      </c>
      <c r="O20" s="203">
        <f t="shared" si="0"/>
        <v>0</v>
      </c>
      <c r="P20" s="202">
        <f t="shared" si="5"/>
        <v>0</v>
      </c>
      <c r="Q20" s="203">
        <f t="shared" si="1"/>
        <v>5106.79</v>
      </c>
      <c r="R20" s="202">
        <f t="shared" si="6"/>
        <v>33.84</v>
      </c>
      <c r="S20" s="203">
        <f t="shared" si="2"/>
        <v>873.05</v>
      </c>
      <c r="T20" s="202" t="e">
        <f t="shared" si="7"/>
        <v>#DIV/0!</v>
      </c>
    </row>
    <row r="21" spans="1:20" ht="15.75">
      <c r="A21" s="28" t="s">
        <v>135</v>
      </c>
      <c r="B21" s="201" t="s">
        <v>136</v>
      </c>
      <c r="C21" s="202">
        <f t="shared" si="8"/>
        <v>733.394</v>
      </c>
      <c r="D21" s="202">
        <f>ROUND(C21/12/C11*1000,2)</f>
        <v>329.07</v>
      </c>
      <c r="E21" s="71">
        <v>0</v>
      </c>
      <c r="F21" s="202">
        <f>ROUND(E21/12/E11*1000,2)</f>
        <v>0</v>
      </c>
      <c r="G21" s="71">
        <v>626.32</v>
      </c>
      <c r="H21" s="202">
        <f>ROUND(G21/12/G11*1000,2)</f>
        <v>1426.72</v>
      </c>
      <c r="I21" s="71">
        <v>107.074</v>
      </c>
      <c r="J21" s="202">
        <f>ROUND(I21/12/I11*1000,2)</f>
        <v>1426.72</v>
      </c>
      <c r="K21" s="95"/>
      <c r="L21" s="186"/>
      <c r="M21" s="203">
        <f t="shared" si="3"/>
        <v>733.39</v>
      </c>
      <c r="N21" s="202">
        <f t="shared" si="4"/>
        <v>329.07</v>
      </c>
      <c r="O21" s="203">
        <f t="shared" si="0"/>
        <v>0</v>
      </c>
      <c r="P21" s="202">
        <f t="shared" si="5"/>
        <v>0</v>
      </c>
      <c r="Q21" s="203">
        <f t="shared" si="1"/>
        <v>626.32</v>
      </c>
      <c r="R21" s="202">
        <f t="shared" si="6"/>
        <v>1426.72</v>
      </c>
      <c r="S21" s="203">
        <f t="shared" si="2"/>
        <v>107.07</v>
      </c>
      <c r="T21" s="202">
        <f t="shared" si="7"/>
        <v>1426.72</v>
      </c>
    </row>
    <row r="22" spans="1:21" s="198" customFormat="1" ht="33.75" customHeight="1">
      <c r="A22" s="194">
        <v>5</v>
      </c>
      <c r="B22" s="195" t="s">
        <v>137</v>
      </c>
      <c r="C22" s="65"/>
      <c r="D22" s="187">
        <f>D23+D24</f>
        <v>257.53</v>
      </c>
      <c r="E22" s="65"/>
      <c r="F22" s="187">
        <f>F23+F24</f>
        <v>213.69</v>
      </c>
      <c r="G22" s="65"/>
      <c r="H22" s="187">
        <f>H23+H24</f>
        <v>250.3</v>
      </c>
      <c r="I22" s="65"/>
      <c r="J22" s="187" t="e">
        <f>J23+J24</f>
        <v>#DIV/0!</v>
      </c>
      <c r="K22" s="94"/>
      <c r="L22" s="196"/>
      <c r="M22" s="187">
        <f t="shared" si="3"/>
        <v>0</v>
      </c>
      <c r="N22" s="187">
        <f t="shared" si="4"/>
        <v>257.53</v>
      </c>
      <c r="O22" s="187">
        <f t="shared" si="0"/>
        <v>0</v>
      </c>
      <c r="P22" s="187">
        <f t="shared" si="5"/>
        <v>213.69</v>
      </c>
      <c r="Q22" s="187">
        <f t="shared" si="1"/>
        <v>0</v>
      </c>
      <c r="R22" s="187">
        <f t="shared" si="6"/>
        <v>250.3</v>
      </c>
      <c r="S22" s="187">
        <f t="shared" si="2"/>
        <v>0</v>
      </c>
      <c r="T22" s="187" t="e">
        <f t="shared" si="7"/>
        <v>#DIV/0!</v>
      </c>
      <c r="U22" s="199"/>
    </row>
    <row r="23" spans="1:21" ht="15.75">
      <c r="A23" s="28" t="s">
        <v>138</v>
      </c>
      <c r="B23" s="201" t="s">
        <v>139</v>
      </c>
      <c r="C23" s="71"/>
      <c r="D23" s="202">
        <f>D14</f>
        <v>237.72</v>
      </c>
      <c r="E23" s="71"/>
      <c r="F23" s="202">
        <f>F14</f>
        <v>213.69</v>
      </c>
      <c r="G23" s="71"/>
      <c r="H23" s="202">
        <f>H14</f>
        <v>216.46</v>
      </c>
      <c r="I23" s="71"/>
      <c r="J23" s="202" t="e">
        <f>J14</f>
        <v>#DIV/0!</v>
      </c>
      <c r="K23" s="95"/>
      <c r="L23" s="186"/>
      <c r="M23" s="202">
        <f t="shared" si="3"/>
        <v>0</v>
      </c>
      <c r="N23" s="202">
        <f t="shared" si="4"/>
        <v>237.72</v>
      </c>
      <c r="O23" s="202">
        <f t="shared" si="0"/>
        <v>0</v>
      </c>
      <c r="P23" s="202">
        <f t="shared" si="5"/>
        <v>213.69</v>
      </c>
      <c r="Q23" s="202">
        <f t="shared" si="1"/>
        <v>0</v>
      </c>
      <c r="R23" s="202">
        <f t="shared" si="6"/>
        <v>216.46</v>
      </c>
      <c r="S23" s="202">
        <f t="shared" si="2"/>
        <v>0</v>
      </c>
      <c r="T23" s="202" t="e">
        <f t="shared" si="7"/>
        <v>#DIV/0!</v>
      </c>
      <c r="U23" s="199"/>
    </row>
    <row r="24" spans="1:21" ht="15.75">
      <c r="A24" s="28" t="s">
        <v>140</v>
      </c>
      <c r="B24" s="201" t="s">
        <v>141</v>
      </c>
      <c r="C24" s="71"/>
      <c r="D24" s="202">
        <f>D20</f>
        <v>19.81</v>
      </c>
      <c r="E24" s="71"/>
      <c r="F24" s="202">
        <f>F20</f>
        <v>0</v>
      </c>
      <c r="G24" s="71"/>
      <c r="H24" s="202">
        <f>H20</f>
        <v>33.84</v>
      </c>
      <c r="I24" s="71"/>
      <c r="J24" s="202" t="e">
        <f>J20</f>
        <v>#DIV/0!</v>
      </c>
      <c r="K24" s="95"/>
      <c r="L24" s="186"/>
      <c r="M24" s="202">
        <f t="shared" si="3"/>
        <v>0</v>
      </c>
      <c r="N24" s="202">
        <f t="shared" si="4"/>
        <v>19.81</v>
      </c>
      <c r="O24" s="202">
        <f t="shared" si="0"/>
        <v>0</v>
      </c>
      <c r="P24" s="202">
        <f t="shared" si="5"/>
        <v>0</v>
      </c>
      <c r="Q24" s="202">
        <f t="shared" si="1"/>
        <v>0</v>
      </c>
      <c r="R24" s="202">
        <f t="shared" si="6"/>
        <v>33.84</v>
      </c>
      <c r="S24" s="202">
        <f t="shared" si="2"/>
        <v>0</v>
      </c>
      <c r="T24" s="202" t="e">
        <f t="shared" si="7"/>
        <v>#DIV/0!</v>
      </c>
      <c r="U24" s="199"/>
    </row>
    <row r="25" spans="1:21" ht="16.5" customHeight="1" hidden="1">
      <c r="A25" s="28" t="s">
        <v>142</v>
      </c>
      <c r="B25" s="201" t="s">
        <v>143</v>
      </c>
      <c r="C25" s="204">
        <f t="shared" si="8"/>
        <v>12.62</v>
      </c>
      <c r="D25" s="205">
        <v>0</v>
      </c>
      <c r="E25" s="205">
        <v>0</v>
      </c>
      <c r="F25" s="205">
        <v>0</v>
      </c>
      <c r="G25" s="205">
        <v>2.94</v>
      </c>
      <c r="H25" s="205">
        <v>0</v>
      </c>
      <c r="I25" s="205">
        <v>9.68</v>
      </c>
      <c r="J25" s="205">
        <v>0</v>
      </c>
      <c r="K25" s="95"/>
      <c r="L25" s="186"/>
      <c r="M25" s="204">
        <f t="shared" si="3"/>
        <v>12.62</v>
      </c>
      <c r="N25" s="204">
        <f t="shared" si="4"/>
        <v>0</v>
      </c>
      <c r="O25" s="204">
        <f t="shared" si="0"/>
        <v>0</v>
      </c>
      <c r="P25" s="204">
        <f t="shared" si="5"/>
        <v>0</v>
      </c>
      <c r="Q25" s="204">
        <f t="shared" si="1"/>
        <v>2.94</v>
      </c>
      <c r="R25" s="204">
        <f t="shared" si="6"/>
        <v>0</v>
      </c>
      <c r="S25" s="204">
        <f t="shared" si="2"/>
        <v>9.68</v>
      </c>
      <c r="T25" s="204">
        <f t="shared" si="7"/>
        <v>0</v>
      </c>
      <c r="U25" s="199"/>
    </row>
    <row r="26" spans="1:21" s="198" customFormat="1" ht="61.5" customHeight="1">
      <c r="A26" s="194">
        <v>6</v>
      </c>
      <c r="B26" s="206" t="s">
        <v>144</v>
      </c>
      <c r="C26" s="207"/>
      <c r="D26" s="208">
        <f>D27+D28</f>
        <v>7905.929999999999</v>
      </c>
      <c r="E26" s="207"/>
      <c r="F26" s="208">
        <f>F27+F28</f>
        <v>7013.26</v>
      </c>
      <c r="G26" s="207"/>
      <c r="H26" s="208">
        <f>H27+H28</f>
        <v>10584.47</v>
      </c>
      <c r="I26" s="207"/>
      <c r="J26" s="208">
        <f>J27+J28</f>
        <v>12633.17</v>
      </c>
      <c r="K26" s="94"/>
      <c r="L26" s="209"/>
      <c r="M26" s="208">
        <f t="shared" si="3"/>
        <v>0</v>
      </c>
      <c r="N26" s="208">
        <f t="shared" si="4"/>
        <v>7905.93</v>
      </c>
      <c r="O26" s="208">
        <f t="shared" si="0"/>
        <v>0</v>
      </c>
      <c r="P26" s="208">
        <f t="shared" si="5"/>
        <v>7013.26</v>
      </c>
      <c r="Q26" s="208">
        <f t="shared" si="1"/>
        <v>0</v>
      </c>
      <c r="R26" s="208">
        <f t="shared" si="6"/>
        <v>10584.47</v>
      </c>
      <c r="S26" s="208">
        <f t="shared" si="2"/>
        <v>0</v>
      </c>
      <c r="T26" s="208">
        <f t="shared" si="7"/>
        <v>12633.17</v>
      </c>
      <c r="U26" s="199"/>
    </row>
    <row r="27" spans="1:20" ht="15" customHeight="1">
      <c r="A27" s="28" t="s">
        <v>145</v>
      </c>
      <c r="B27" s="201" t="s">
        <v>146</v>
      </c>
      <c r="C27" s="210"/>
      <c r="D27" s="211">
        <f>D18</f>
        <v>7576.86</v>
      </c>
      <c r="E27" s="210"/>
      <c r="F27" s="211">
        <f>F18</f>
        <v>7013.26</v>
      </c>
      <c r="G27" s="210"/>
      <c r="H27" s="211">
        <f>H18</f>
        <v>9157.75</v>
      </c>
      <c r="I27" s="210"/>
      <c r="J27" s="211">
        <f>J18</f>
        <v>11206.45</v>
      </c>
      <c r="K27" s="95"/>
      <c r="L27" s="186"/>
      <c r="M27" s="211">
        <f t="shared" si="3"/>
        <v>0</v>
      </c>
      <c r="N27" s="211">
        <f t="shared" si="4"/>
        <v>7576.86</v>
      </c>
      <c r="O27" s="211">
        <f t="shared" si="0"/>
        <v>0</v>
      </c>
      <c r="P27" s="211">
        <f t="shared" si="5"/>
        <v>7013.26</v>
      </c>
      <c r="Q27" s="211">
        <f t="shared" si="1"/>
        <v>0</v>
      </c>
      <c r="R27" s="211">
        <f t="shared" si="6"/>
        <v>9157.75</v>
      </c>
      <c r="S27" s="211">
        <f t="shared" si="2"/>
        <v>0</v>
      </c>
      <c r="T27" s="211">
        <f t="shared" si="7"/>
        <v>11206.45</v>
      </c>
    </row>
    <row r="28" spans="1:20" ht="16.5" customHeight="1">
      <c r="A28" s="28" t="s">
        <v>147</v>
      </c>
      <c r="B28" s="201" t="s">
        <v>141</v>
      </c>
      <c r="C28" s="210"/>
      <c r="D28" s="211">
        <f>D21</f>
        <v>329.07</v>
      </c>
      <c r="E28" s="210"/>
      <c r="F28" s="211">
        <f>F21</f>
        <v>0</v>
      </c>
      <c r="G28" s="210"/>
      <c r="H28" s="211">
        <f>H21</f>
        <v>1426.72</v>
      </c>
      <c r="I28" s="210"/>
      <c r="J28" s="211">
        <f>J21</f>
        <v>1426.72</v>
      </c>
      <c r="K28" s="95"/>
      <c r="L28" s="186"/>
      <c r="M28" s="211">
        <f t="shared" si="3"/>
        <v>0</v>
      </c>
      <c r="N28" s="211">
        <f t="shared" si="4"/>
        <v>329.07</v>
      </c>
      <c r="O28" s="211">
        <f t="shared" si="0"/>
        <v>0</v>
      </c>
      <c r="P28" s="211">
        <f t="shared" si="5"/>
        <v>0</v>
      </c>
      <c r="Q28" s="211">
        <f t="shared" si="1"/>
        <v>0</v>
      </c>
      <c r="R28" s="211">
        <f t="shared" si="6"/>
        <v>1426.72</v>
      </c>
      <c r="S28" s="211">
        <f t="shared" si="2"/>
        <v>0</v>
      </c>
      <c r="T28" s="211">
        <f t="shared" si="7"/>
        <v>1426.72</v>
      </c>
    </row>
    <row r="29" spans="1:20" ht="13.5" customHeight="1" hidden="1">
      <c r="A29" s="212" t="s">
        <v>148</v>
      </c>
      <c r="B29" s="213" t="s">
        <v>143</v>
      </c>
      <c r="C29" s="214">
        <v>2.8772614173753674</v>
      </c>
      <c r="D29" s="215"/>
      <c r="E29" s="215">
        <v>0</v>
      </c>
      <c r="F29" s="216">
        <f>E29/$E$10*1000</f>
        <v>0</v>
      </c>
      <c r="G29" s="215">
        <v>15</v>
      </c>
      <c r="H29" s="215"/>
      <c r="I29" s="215">
        <v>23.5</v>
      </c>
      <c r="J29" s="217"/>
      <c r="K29" s="104"/>
      <c r="L29" s="105"/>
      <c r="M29" s="218">
        <f t="shared" si="3"/>
        <v>2.88</v>
      </c>
      <c r="N29" s="218">
        <f t="shared" si="4"/>
        <v>0</v>
      </c>
      <c r="O29" s="218">
        <f t="shared" si="0"/>
        <v>0</v>
      </c>
      <c r="P29" s="216">
        <f t="shared" si="5"/>
        <v>0</v>
      </c>
      <c r="Q29" s="218">
        <f t="shared" si="1"/>
        <v>15</v>
      </c>
      <c r="R29" s="218">
        <f t="shared" si="6"/>
        <v>0</v>
      </c>
      <c r="S29" s="218">
        <f t="shared" si="2"/>
        <v>23.5</v>
      </c>
      <c r="T29" s="219">
        <f t="shared" si="7"/>
        <v>0</v>
      </c>
    </row>
    <row r="30" spans="1:20" ht="18.75" customHeight="1">
      <c r="A30" s="297" t="s">
        <v>149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ht="40.5" customHeight="1" hidden="1">
      <c r="A31" s="212">
        <v>7</v>
      </c>
      <c r="B31" s="213" t="s">
        <v>196</v>
      </c>
      <c r="C31" s="212">
        <v>374.145</v>
      </c>
      <c r="D31" s="220"/>
      <c r="E31" s="220">
        <v>312.897</v>
      </c>
      <c r="F31" s="220"/>
      <c r="G31" s="220">
        <v>42.653</v>
      </c>
      <c r="H31" s="220"/>
      <c r="I31" s="220">
        <v>18.595</v>
      </c>
      <c r="J31" s="221"/>
      <c r="K31" s="70"/>
      <c r="L31" s="105"/>
      <c r="M31" s="216">
        <f t="shared" si="3"/>
        <v>374.15</v>
      </c>
      <c r="N31" s="216">
        <f t="shared" si="4"/>
        <v>0</v>
      </c>
      <c r="O31" s="216">
        <f t="shared" si="0"/>
        <v>312.9</v>
      </c>
      <c r="P31" s="216">
        <f t="shared" si="5"/>
        <v>0</v>
      </c>
      <c r="Q31" s="216">
        <f t="shared" si="1"/>
        <v>42.65</v>
      </c>
      <c r="R31" s="216">
        <f t="shared" si="6"/>
        <v>0</v>
      </c>
      <c r="S31" s="216">
        <f t="shared" si="2"/>
        <v>18.6</v>
      </c>
      <c r="T31" s="222">
        <f t="shared" si="7"/>
        <v>0</v>
      </c>
    </row>
    <row r="32" spans="1:21" s="198" customFormat="1" ht="48" customHeight="1">
      <c r="A32" s="194">
        <v>7</v>
      </c>
      <c r="B32" s="195" t="s">
        <v>197</v>
      </c>
      <c r="C32" s="187" t="e">
        <f>E32+G32+I32</f>
        <v>#REF!</v>
      </c>
      <c r="D32" s="187" t="e">
        <f>ROUND(C32/12/C11*1000,2)</f>
        <v>#REF!</v>
      </c>
      <c r="E32" s="187" t="e">
        <f>#REF!/#REF!*#REF!</f>
        <v>#REF!</v>
      </c>
      <c r="F32" s="187" t="e">
        <f>ROUND(E32/E11/12*1000,2)</f>
        <v>#REF!</v>
      </c>
      <c r="G32" s="187" t="e">
        <f>#REF!/#REF!*#REF!</f>
        <v>#REF!</v>
      </c>
      <c r="H32" s="187" t="e">
        <f>ROUND(G32/G11/12*1000,2)</f>
        <v>#REF!</v>
      </c>
      <c r="I32" s="187" t="e">
        <f>#REF!/#REF!*#REF!</f>
        <v>#REF!</v>
      </c>
      <c r="J32" s="187" t="e">
        <f>ROUND(I32/I11/12*1000,2)</f>
        <v>#REF!</v>
      </c>
      <c r="K32" s="94"/>
      <c r="L32" s="196"/>
      <c r="M32" s="197" t="e">
        <f t="shared" si="3"/>
        <v>#REF!</v>
      </c>
      <c r="N32" s="187" t="e">
        <f t="shared" si="4"/>
        <v>#REF!</v>
      </c>
      <c r="O32" s="197" t="e">
        <f t="shared" si="0"/>
        <v>#REF!</v>
      </c>
      <c r="P32" s="187" t="e">
        <f t="shared" si="5"/>
        <v>#REF!</v>
      </c>
      <c r="Q32" s="197" t="e">
        <f t="shared" si="1"/>
        <v>#REF!</v>
      </c>
      <c r="R32" s="187" t="e">
        <f t="shared" si="6"/>
        <v>#REF!</v>
      </c>
      <c r="S32" s="197" t="e">
        <f t="shared" si="2"/>
        <v>#REF!</v>
      </c>
      <c r="T32" s="187" t="e">
        <f t="shared" si="7"/>
        <v>#REF!</v>
      </c>
      <c r="U32" s="199"/>
    </row>
    <row r="33" spans="1:20" ht="36" customHeight="1">
      <c r="A33" s="28">
        <v>8</v>
      </c>
      <c r="B33" s="201" t="s">
        <v>151</v>
      </c>
      <c r="C33" s="202" t="e">
        <f>E33+G33+I33</f>
        <v>#REF!</v>
      </c>
      <c r="D33" s="202" t="e">
        <f>ROUND(C33/C11/12*1000,2)</f>
        <v>#REF!</v>
      </c>
      <c r="E33" s="202" t="e">
        <f>#REF!</f>
        <v>#REF!</v>
      </c>
      <c r="F33" s="202" t="e">
        <f>ROUND(E33/12/E11*1000,2)</f>
        <v>#REF!</v>
      </c>
      <c r="G33" s="202" t="e">
        <f>#REF!</f>
        <v>#REF!</v>
      </c>
      <c r="H33" s="202" t="e">
        <f>ROUND(G33/12/G11*1000,2)</f>
        <v>#REF!</v>
      </c>
      <c r="I33" s="202" t="e">
        <f>#REF!</f>
        <v>#REF!</v>
      </c>
      <c r="J33" s="202" t="e">
        <f>ROUND(I33/12/I11*1000,2)</f>
        <v>#REF!</v>
      </c>
      <c r="K33" s="185"/>
      <c r="L33" s="186"/>
      <c r="M33" s="202" t="e">
        <f t="shared" si="3"/>
        <v>#REF!</v>
      </c>
      <c r="N33" s="202" t="e">
        <f t="shared" si="4"/>
        <v>#REF!</v>
      </c>
      <c r="O33" s="202" t="e">
        <f t="shared" si="0"/>
        <v>#REF!</v>
      </c>
      <c r="P33" s="202" t="e">
        <f t="shared" si="5"/>
        <v>#REF!</v>
      </c>
      <c r="Q33" s="202" t="e">
        <f t="shared" si="1"/>
        <v>#REF!</v>
      </c>
      <c r="R33" s="202" t="e">
        <f t="shared" si="6"/>
        <v>#REF!</v>
      </c>
      <c r="S33" s="202" t="e">
        <f t="shared" si="2"/>
        <v>#REF!</v>
      </c>
      <c r="T33" s="202" t="e">
        <f t="shared" si="7"/>
        <v>#REF!</v>
      </c>
    </row>
    <row r="34" spans="1:20" s="198" customFormat="1" ht="53.25" customHeight="1">
      <c r="A34" s="194">
        <v>9</v>
      </c>
      <c r="B34" s="195" t="s">
        <v>152</v>
      </c>
      <c r="C34" s="207"/>
      <c r="D34" s="208" t="e">
        <f>D35+D36</f>
        <v>#REF!</v>
      </c>
      <c r="E34" s="207"/>
      <c r="F34" s="208" t="e">
        <f>F35+F36</f>
        <v>#REF!</v>
      </c>
      <c r="G34" s="207"/>
      <c r="H34" s="208" t="e">
        <f>H35+H36</f>
        <v>#REF!</v>
      </c>
      <c r="I34" s="207"/>
      <c r="J34" s="208" t="e">
        <f>J35+J36-0.01</f>
        <v>#REF!</v>
      </c>
      <c r="K34" s="94"/>
      <c r="L34" s="196"/>
      <c r="M34" s="208">
        <f t="shared" si="3"/>
        <v>0</v>
      </c>
      <c r="N34" s="208" t="e">
        <f t="shared" si="4"/>
        <v>#REF!</v>
      </c>
      <c r="O34" s="208">
        <f t="shared" si="0"/>
        <v>0</v>
      </c>
      <c r="P34" s="208" t="e">
        <f t="shared" si="5"/>
        <v>#REF!</v>
      </c>
      <c r="Q34" s="208">
        <f t="shared" si="1"/>
        <v>0</v>
      </c>
      <c r="R34" s="208" t="e">
        <f t="shared" si="6"/>
        <v>#REF!</v>
      </c>
      <c r="S34" s="208">
        <f t="shared" si="2"/>
        <v>0</v>
      </c>
      <c r="T34" s="208" t="e">
        <f t="shared" si="7"/>
        <v>#REF!</v>
      </c>
    </row>
    <row r="35" spans="1:20" ht="15" customHeight="1">
      <c r="A35" s="28" t="s">
        <v>153</v>
      </c>
      <c r="B35" s="201" t="s">
        <v>146</v>
      </c>
      <c r="C35" s="71"/>
      <c r="D35" s="202" t="e">
        <f>D32</f>
        <v>#REF!</v>
      </c>
      <c r="E35" s="71"/>
      <c r="F35" s="202" t="e">
        <f>F32</f>
        <v>#REF!</v>
      </c>
      <c r="G35" s="71"/>
      <c r="H35" s="202" t="e">
        <f>H32</f>
        <v>#REF!</v>
      </c>
      <c r="I35" s="71"/>
      <c r="J35" s="202" t="e">
        <f>J32</f>
        <v>#REF!</v>
      </c>
      <c r="K35" s="95"/>
      <c r="L35" s="186"/>
      <c r="M35" s="202">
        <f t="shared" si="3"/>
        <v>0</v>
      </c>
      <c r="N35" s="202" t="e">
        <f t="shared" si="4"/>
        <v>#REF!</v>
      </c>
      <c r="O35" s="202">
        <f t="shared" si="0"/>
        <v>0</v>
      </c>
      <c r="P35" s="202" t="e">
        <f t="shared" si="5"/>
        <v>#REF!</v>
      </c>
      <c r="Q35" s="202">
        <f t="shared" si="1"/>
        <v>0</v>
      </c>
      <c r="R35" s="202" t="e">
        <f t="shared" si="6"/>
        <v>#REF!</v>
      </c>
      <c r="S35" s="202">
        <f t="shared" si="2"/>
        <v>0</v>
      </c>
      <c r="T35" s="202" t="e">
        <f t="shared" si="7"/>
        <v>#REF!</v>
      </c>
    </row>
    <row r="36" spans="1:20" ht="16.5" customHeight="1">
      <c r="A36" s="28" t="s">
        <v>154</v>
      </c>
      <c r="B36" s="201" t="s">
        <v>155</v>
      </c>
      <c r="C36" s="71"/>
      <c r="D36" s="202" t="e">
        <f>D33</f>
        <v>#REF!</v>
      </c>
      <c r="E36" s="71"/>
      <c r="F36" s="202" t="e">
        <f>F33</f>
        <v>#REF!</v>
      </c>
      <c r="G36" s="71"/>
      <c r="H36" s="202" t="e">
        <f>H33</f>
        <v>#REF!</v>
      </c>
      <c r="I36" s="71"/>
      <c r="J36" s="202" t="e">
        <f>J33</f>
        <v>#REF!</v>
      </c>
      <c r="K36" s="95"/>
      <c r="L36" s="186"/>
      <c r="M36" s="202">
        <f t="shared" si="3"/>
        <v>0</v>
      </c>
      <c r="N36" s="202" t="e">
        <f t="shared" si="4"/>
        <v>#REF!</v>
      </c>
      <c r="O36" s="202">
        <f t="shared" si="0"/>
        <v>0</v>
      </c>
      <c r="P36" s="202" t="e">
        <f t="shared" si="5"/>
        <v>#REF!</v>
      </c>
      <c r="Q36" s="202">
        <f t="shared" si="1"/>
        <v>0</v>
      </c>
      <c r="R36" s="202" t="e">
        <f t="shared" si="6"/>
        <v>#REF!</v>
      </c>
      <c r="S36" s="202">
        <f t="shared" si="2"/>
        <v>0</v>
      </c>
      <c r="T36" s="202" t="e">
        <f t="shared" si="7"/>
        <v>#REF!</v>
      </c>
    </row>
    <row r="37" spans="1:20" ht="13.5" customHeight="1" hidden="1">
      <c r="A37" s="212" t="s">
        <v>156</v>
      </c>
      <c r="B37" s="213" t="s">
        <v>143</v>
      </c>
      <c r="C37" s="212">
        <v>0.9693480929149638</v>
      </c>
      <c r="D37" s="220"/>
      <c r="E37" s="220">
        <v>0</v>
      </c>
      <c r="F37" s="220"/>
      <c r="G37" s="220">
        <v>3.84</v>
      </c>
      <c r="H37" s="220"/>
      <c r="I37" s="220">
        <v>10.7</v>
      </c>
      <c r="J37" s="221"/>
      <c r="K37" s="104"/>
      <c r="L37" s="105"/>
      <c r="M37" s="216">
        <f t="shared" si="3"/>
        <v>0.97</v>
      </c>
      <c r="N37" s="216">
        <f t="shared" si="4"/>
        <v>0</v>
      </c>
      <c r="O37" s="216">
        <f t="shared" si="0"/>
        <v>0</v>
      </c>
      <c r="P37" s="216">
        <f t="shared" si="5"/>
        <v>0</v>
      </c>
      <c r="Q37" s="216">
        <f t="shared" si="1"/>
        <v>3.84</v>
      </c>
      <c r="R37" s="216">
        <f t="shared" si="6"/>
        <v>0</v>
      </c>
      <c r="S37" s="216">
        <f t="shared" si="2"/>
        <v>10.7</v>
      </c>
      <c r="T37" s="222">
        <f t="shared" si="7"/>
        <v>0</v>
      </c>
    </row>
    <row r="38" spans="1:20" ht="18.75" customHeight="1">
      <c r="A38" s="297" t="s">
        <v>157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8"/>
      <c r="L38" s="298"/>
      <c r="M38" s="298"/>
      <c r="N38" s="298"/>
      <c r="O38" s="298"/>
      <c r="P38" s="298"/>
      <c r="Q38" s="298"/>
      <c r="R38" s="298"/>
      <c r="S38" s="298"/>
      <c r="T38" s="298"/>
    </row>
    <row r="39" spans="1:21" s="198" customFormat="1" ht="49.5" customHeight="1">
      <c r="A39" s="194">
        <v>10</v>
      </c>
      <c r="B39" s="195" t="s">
        <v>158</v>
      </c>
      <c r="C39" s="187" t="e">
        <f>E39+G39+I39</f>
        <v>#REF!</v>
      </c>
      <c r="D39" s="187" t="e">
        <f>ROUND(C39/12/C11*1000,2)</f>
        <v>#REF!</v>
      </c>
      <c r="E39" s="187" t="e">
        <f>#REF!</f>
        <v>#REF!</v>
      </c>
      <c r="F39" s="187" t="e">
        <f>ROUND(E39/12/E11*1000,2)</f>
        <v>#REF!</v>
      </c>
      <c r="G39" s="187" t="e">
        <f>#REF!</f>
        <v>#REF!</v>
      </c>
      <c r="H39" s="187" t="e">
        <f>ROUND(G39/12/G11*1000,2)</f>
        <v>#REF!</v>
      </c>
      <c r="I39" s="187" t="e">
        <f>#REF!</f>
        <v>#REF!</v>
      </c>
      <c r="J39" s="187" t="e">
        <f>ROUND(I39/12/I11*1000,2)</f>
        <v>#REF!</v>
      </c>
      <c r="K39" s="94"/>
      <c r="L39" s="196"/>
      <c r="M39" s="197" t="e">
        <f t="shared" si="3"/>
        <v>#REF!</v>
      </c>
      <c r="N39" s="187" t="e">
        <f t="shared" si="4"/>
        <v>#REF!</v>
      </c>
      <c r="O39" s="197" t="e">
        <f t="shared" si="0"/>
        <v>#REF!</v>
      </c>
      <c r="P39" s="187" t="e">
        <f t="shared" si="5"/>
        <v>#REF!</v>
      </c>
      <c r="Q39" s="197" t="e">
        <f t="shared" si="1"/>
        <v>#REF!</v>
      </c>
      <c r="R39" s="187" t="e">
        <f t="shared" si="6"/>
        <v>#REF!</v>
      </c>
      <c r="S39" s="197" t="e">
        <f t="shared" si="2"/>
        <v>#REF!</v>
      </c>
      <c r="T39" s="187" t="e">
        <f t="shared" si="7"/>
        <v>#REF!</v>
      </c>
      <c r="U39" s="199"/>
    </row>
    <row r="40" spans="1:20" ht="36" customHeight="1">
      <c r="A40" s="28">
        <v>11</v>
      </c>
      <c r="B40" s="201" t="s">
        <v>159</v>
      </c>
      <c r="C40" s="202" t="e">
        <f>E40+G40+I40</f>
        <v>#REF!</v>
      </c>
      <c r="D40" s="202" t="e">
        <f>ROUND(C40/12/C11*1000,2)</f>
        <v>#REF!</v>
      </c>
      <c r="E40" s="202" t="e">
        <f>#REF!</f>
        <v>#REF!</v>
      </c>
      <c r="F40" s="202" t="e">
        <f>ROUND(E40/12/E11*1000,2)</f>
        <v>#REF!</v>
      </c>
      <c r="G40" s="202" t="e">
        <f>#REF!</f>
        <v>#REF!</v>
      </c>
      <c r="H40" s="202" t="e">
        <f>ROUND(G40/12/G11*1000,2)</f>
        <v>#REF!</v>
      </c>
      <c r="I40" s="202" t="e">
        <f>#REF!</f>
        <v>#REF!</v>
      </c>
      <c r="J40" s="202" t="e">
        <f>ROUND(I40/12/I11*1000,2)</f>
        <v>#REF!</v>
      </c>
      <c r="K40" s="185"/>
      <c r="L40" s="186"/>
      <c r="M40" s="202" t="e">
        <f t="shared" si="3"/>
        <v>#REF!</v>
      </c>
      <c r="N40" s="202" t="e">
        <f t="shared" si="4"/>
        <v>#REF!</v>
      </c>
      <c r="O40" s="202" t="e">
        <f t="shared" si="0"/>
        <v>#REF!</v>
      </c>
      <c r="P40" s="202" t="e">
        <f t="shared" si="5"/>
        <v>#REF!</v>
      </c>
      <c r="Q40" s="202" t="e">
        <f t="shared" si="1"/>
        <v>#REF!</v>
      </c>
      <c r="R40" s="202" t="e">
        <f t="shared" si="6"/>
        <v>#REF!</v>
      </c>
      <c r="S40" s="202" t="e">
        <f t="shared" si="2"/>
        <v>#REF!</v>
      </c>
      <c r="T40" s="202" t="e">
        <f t="shared" si="7"/>
        <v>#REF!</v>
      </c>
    </row>
    <row r="41" spans="1:20" s="198" customFormat="1" ht="47.25" customHeight="1">
      <c r="A41" s="194">
        <v>12</v>
      </c>
      <c r="B41" s="195" t="s">
        <v>160</v>
      </c>
      <c r="C41" s="65"/>
      <c r="D41" s="187" t="e">
        <f>D42+D43</f>
        <v>#REF!</v>
      </c>
      <c r="E41" s="65"/>
      <c r="F41" s="187" t="e">
        <f>F42+F43</f>
        <v>#REF!</v>
      </c>
      <c r="G41" s="65"/>
      <c r="H41" s="187" t="e">
        <f>H42+H43</f>
        <v>#REF!</v>
      </c>
      <c r="I41" s="65"/>
      <c r="J41" s="187" t="e">
        <f>H41</f>
        <v>#REF!</v>
      </c>
      <c r="K41" s="94"/>
      <c r="L41" s="196"/>
      <c r="M41" s="187">
        <f t="shared" si="3"/>
        <v>0</v>
      </c>
      <c r="N41" s="187" t="e">
        <f t="shared" si="4"/>
        <v>#REF!</v>
      </c>
      <c r="O41" s="187">
        <f t="shared" si="0"/>
        <v>0</v>
      </c>
      <c r="P41" s="187" t="e">
        <f t="shared" si="5"/>
        <v>#REF!</v>
      </c>
      <c r="Q41" s="187">
        <f t="shared" si="1"/>
        <v>0</v>
      </c>
      <c r="R41" s="187" t="e">
        <f t="shared" si="6"/>
        <v>#REF!</v>
      </c>
      <c r="S41" s="187">
        <f t="shared" si="2"/>
        <v>0</v>
      </c>
      <c r="T41" s="187" t="e">
        <f t="shared" si="7"/>
        <v>#REF!</v>
      </c>
    </row>
    <row r="42" spans="1:20" ht="16.5" customHeight="1">
      <c r="A42" s="28" t="s">
        <v>161</v>
      </c>
      <c r="B42" s="201" t="s">
        <v>146</v>
      </c>
      <c r="C42" s="71"/>
      <c r="D42" s="202" t="e">
        <f>D39</f>
        <v>#REF!</v>
      </c>
      <c r="E42" s="71"/>
      <c r="F42" s="202" t="e">
        <f>F39</f>
        <v>#REF!</v>
      </c>
      <c r="G42" s="71"/>
      <c r="H42" s="202" t="e">
        <f>H39</f>
        <v>#REF!</v>
      </c>
      <c r="I42" s="71"/>
      <c r="J42" s="202" t="e">
        <f>J39</f>
        <v>#REF!</v>
      </c>
      <c r="K42" s="95"/>
      <c r="L42" s="186"/>
      <c r="M42" s="202">
        <f t="shared" si="3"/>
        <v>0</v>
      </c>
      <c r="N42" s="202" t="e">
        <f t="shared" si="4"/>
        <v>#REF!</v>
      </c>
      <c r="O42" s="202">
        <f t="shared" si="0"/>
        <v>0</v>
      </c>
      <c r="P42" s="202" t="e">
        <f t="shared" si="5"/>
        <v>#REF!</v>
      </c>
      <c r="Q42" s="202">
        <f t="shared" si="1"/>
        <v>0</v>
      </c>
      <c r="R42" s="202" t="e">
        <f t="shared" si="6"/>
        <v>#REF!</v>
      </c>
      <c r="S42" s="202">
        <f t="shared" si="2"/>
        <v>0</v>
      </c>
      <c r="T42" s="202" t="e">
        <f t="shared" si="7"/>
        <v>#REF!</v>
      </c>
    </row>
    <row r="43" spans="1:20" ht="15" customHeight="1">
      <c r="A43" s="28" t="s">
        <v>162</v>
      </c>
      <c r="B43" s="201" t="s">
        <v>163</v>
      </c>
      <c r="C43" s="71"/>
      <c r="D43" s="202" t="e">
        <f>D40</f>
        <v>#REF!</v>
      </c>
      <c r="E43" s="71"/>
      <c r="F43" s="202" t="e">
        <f>F40</f>
        <v>#REF!</v>
      </c>
      <c r="G43" s="71"/>
      <c r="H43" s="202" t="e">
        <f>H40</f>
        <v>#REF!</v>
      </c>
      <c r="I43" s="71"/>
      <c r="J43" s="202" t="e">
        <f>J40</f>
        <v>#REF!</v>
      </c>
      <c r="K43" s="95"/>
      <c r="L43" s="186"/>
      <c r="M43" s="202">
        <f t="shared" si="3"/>
        <v>0</v>
      </c>
      <c r="N43" s="202" t="e">
        <f t="shared" si="4"/>
        <v>#REF!</v>
      </c>
      <c r="O43" s="202">
        <f t="shared" si="0"/>
        <v>0</v>
      </c>
      <c r="P43" s="202" t="e">
        <f t="shared" si="5"/>
        <v>#REF!</v>
      </c>
      <c r="Q43" s="202">
        <f t="shared" si="1"/>
        <v>0</v>
      </c>
      <c r="R43" s="202" t="e">
        <f t="shared" si="6"/>
        <v>#REF!</v>
      </c>
      <c r="S43" s="202">
        <f t="shared" si="2"/>
        <v>0</v>
      </c>
      <c r="T43" s="202" t="e">
        <f t="shared" si="7"/>
        <v>#REF!</v>
      </c>
    </row>
    <row r="44" spans="1:20" ht="13.5" customHeight="1" hidden="1">
      <c r="A44" s="212" t="s">
        <v>198</v>
      </c>
      <c r="B44" s="213" t="s">
        <v>143</v>
      </c>
      <c r="C44" s="212">
        <v>0.6475228357214132</v>
      </c>
      <c r="D44" s="220"/>
      <c r="E44" s="220">
        <v>0</v>
      </c>
      <c r="F44" s="220"/>
      <c r="G44" s="220">
        <v>3.84</v>
      </c>
      <c r="H44" s="220"/>
      <c r="I44" s="220">
        <v>10.7</v>
      </c>
      <c r="J44" s="221"/>
      <c r="K44" s="104"/>
      <c r="L44" s="105"/>
      <c r="M44" s="223">
        <f t="shared" si="3"/>
        <v>0.65</v>
      </c>
      <c r="N44" s="223">
        <f t="shared" si="4"/>
        <v>0</v>
      </c>
      <c r="O44" s="223">
        <f t="shared" si="0"/>
        <v>0</v>
      </c>
      <c r="P44" s="223">
        <f t="shared" si="5"/>
        <v>0</v>
      </c>
      <c r="Q44" s="223">
        <f t="shared" si="1"/>
        <v>3.84</v>
      </c>
      <c r="R44" s="223">
        <f t="shared" si="6"/>
        <v>0</v>
      </c>
      <c r="S44" s="223">
        <f t="shared" si="2"/>
        <v>10.7</v>
      </c>
      <c r="T44" s="222">
        <f t="shared" si="7"/>
        <v>0</v>
      </c>
    </row>
    <row r="45" spans="1:20" ht="15.75" customHeight="1">
      <c r="A45" s="297" t="s">
        <v>164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8"/>
      <c r="L45" s="298"/>
      <c r="M45" s="298"/>
      <c r="N45" s="298"/>
      <c r="O45" s="298"/>
      <c r="P45" s="298"/>
      <c r="Q45" s="298"/>
      <c r="R45" s="298"/>
      <c r="S45" s="298"/>
      <c r="T45" s="298"/>
    </row>
    <row r="46" spans="1:21" s="198" customFormat="1" ht="35.25" customHeight="1">
      <c r="A46" s="194">
        <v>13</v>
      </c>
      <c r="B46" s="195" t="s">
        <v>165</v>
      </c>
      <c r="C46" s="65"/>
      <c r="D46" s="187">
        <f>D47+D48</f>
        <v>257.53</v>
      </c>
      <c r="E46" s="65"/>
      <c r="F46" s="187">
        <f>F47+F48</f>
        <v>213.69</v>
      </c>
      <c r="G46" s="65"/>
      <c r="H46" s="187">
        <f>H47+H48</f>
        <v>250.3</v>
      </c>
      <c r="I46" s="65"/>
      <c r="J46" s="187" t="e">
        <f>J47+J48</f>
        <v>#DIV/0!</v>
      </c>
      <c r="K46" s="94"/>
      <c r="L46" s="196"/>
      <c r="M46" s="187">
        <f t="shared" si="3"/>
        <v>0</v>
      </c>
      <c r="N46" s="187">
        <f t="shared" si="4"/>
        <v>257.53</v>
      </c>
      <c r="O46" s="187">
        <f t="shared" si="0"/>
        <v>0</v>
      </c>
      <c r="P46" s="187">
        <f t="shared" si="5"/>
        <v>213.69</v>
      </c>
      <c r="Q46" s="187">
        <f t="shared" si="1"/>
        <v>0</v>
      </c>
      <c r="R46" s="187">
        <f t="shared" si="6"/>
        <v>250.3</v>
      </c>
      <c r="S46" s="187">
        <f t="shared" si="2"/>
        <v>0</v>
      </c>
      <c r="T46" s="187" t="e">
        <f t="shared" si="7"/>
        <v>#DIV/0!</v>
      </c>
      <c r="U46" s="199"/>
    </row>
    <row r="47" spans="1:20" ht="15.75">
      <c r="A47" s="28" t="s">
        <v>166</v>
      </c>
      <c r="B47" s="201" t="s">
        <v>146</v>
      </c>
      <c r="C47" s="71"/>
      <c r="D47" s="202">
        <f>D23</f>
        <v>237.72</v>
      </c>
      <c r="E47" s="71"/>
      <c r="F47" s="202">
        <f>F23</f>
        <v>213.69</v>
      </c>
      <c r="G47" s="71"/>
      <c r="H47" s="202">
        <f>H23</f>
        <v>216.46</v>
      </c>
      <c r="I47" s="71"/>
      <c r="J47" s="202" t="e">
        <f>J23</f>
        <v>#DIV/0!</v>
      </c>
      <c r="K47" s="95"/>
      <c r="L47" s="186"/>
      <c r="M47" s="202">
        <f t="shared" si="3"/>
        <v>0</v>
      </c>
      <c r="N47" s="202">
        <f t="shared" si="4"/>
        <v>237.72</v>
      </c>
      <c r="O47" s="202">
        <f t="shared" si="0"/>
        <v>0</v>
      </c>
      <c r="P47" s="202">
        <f t="shared" si="5"/>
        <v>213.69</v>
      </c>
      <c r="Q47" s="202">
        <f t="shared" si="1"/>
        <v>0</v>
      </c>
      <c r="R47" s="202">
        <f t="shared" si="6"/>
        <v>216.46</v>
      </c>
      <c r="S47" s="202">
        <f t="shared" si="2"/>
        <v>0</v>
      </c>
      <c r="T47" s="202" t="e">
        <f t="shared" si="7"/>
        <v>#DIV/0!</v>
      </c>
    </row>
    <row r="48" spans="1:20" ht="15.75">
      <c r="A48" s="28" t="s">
        <v>167</v>
      </c>
      <c r="B48" s="201" t="s">
        <v>141</v>
      </c>
      <c r="C48" s="71"/>
      <c r="D48" s="202">
        <f>D24</f>
        <v>19.81</v>
      </c>
      <c r="E48" s="71"/>
      <c r="F48" s="202">
        <f>F24</f>
        <v>0</v>
      </c>
      <c r="G48" s="71"/>
      <c r="H48" s="202">
        <f>H24</f>
        <v>33.84</v>
      </c>
      <c r="I48" s="71"/>
      <c r="J48" s="202" t="e">
        <f>J24</f>
        <v>#DIV/0!</v>
      </c>
      <c r="K48" s="95"/>
      <c r="L48" s="186"/>
      <c r="M48" s="202">
        <f t="shared" si="3"/>
        <v>0</v>
      </c>
      <c r="N48" s="202">
        <f t="shared" si="4"/>
        <v>19.81</v>
      </c>
      <c r="O48" s="202">
        <f t="shared" si="0"/>
        <v>0</v>
      </c>
      <c r="P48" s="202">
        <f t="shared" si="5"/>
        <v>0</v>
      </c>
      <c r="Q48" s="202">
        <f t="shared" si="1"/>
        <v>0</v>
      </c>
      <c r="R48" s="202">
        <f t="shared" si="6"/>
        <v>33.84</v>
      </c>
      <c r="S48" s="202">
        <f t="shared" si="2"/>
        <v>0</v>
      </c>
      <c r="T48" s="202" t="e">
        <f t="shared" si="7"/>
        <v>#DIV/0!</v>
      </c>
    </row>
    <row r="49" spans="1:20" ht="16.5" customHeight="1" hidden="1">
      <c r="A49" s="28" t="s">
        <v>168</v>
      </c>
      <c r="B49" s="201" t="s">
        <v>143</v>
      </c>
      <c r="C49" s="97">
        <v>1.92</v>
      </c>
      <c r="D49" s="97">
        <v>0</v>
      </c>
      <c r="E49" s="97">
        <v>0</v>
      </c>
      <c r="F49" s="97">
        <v>0</v>
      </c>
      <c r="G49" s="97">
        <v>2.94</v>
      </c>
      <c r="H49" s="97">
        <v>0</v>
      </c>
      <c r="I49" s="97">
        <v>9.68</v>
      </c>
      <c r="J49" s="97">
        <v>0</v>
      </c>
      <c r="K49" s="95"/>
      <c r="L49" s="186"/>
      <c r="M49" s="203">
        <f t="shared" si="3"/>
        <v>1.92</v>
      </c>
      <c r="N49" s="203">
        <f t="shared" si="4"/>
        <v>0</v>
      </c>
      <c r="O49" s="203">
        <f t="shared" si="0"/>
        <v>0</v>
      </c>
      <c r="P49" s="203">
        <f t="shared" si="5"/>
        <v>0</v>
      </c>
      <c r="Q49" s="203">
        <f t="shared" si="1"/>
        <v>2.94</v>
      </c>
      <c r="R49" s="203">
        <f t="shared" si="6"/>
        <v>0</v>
      </c>
      <c r="S49" s="203">
        <f t="shared" si="2"/>
        <v>9.68</v>
      </c>
      <c r="T49" s="203">
        <f t="shared" si="7"/>
        <v>0</v>
      </c>
    </row>
    <row r="50" spans="1:20" s="198" customFormat="1" ht="63" customHeight="1">
      <c r="A50" s="194">
        <v>14</v>
      </c>
      <c r="B50" s="195" t="s">
        <v>169</v>
      </c>
      <c r="C50" s="65"/>
      <c r="D50" s="187" t="e">
        <f>D51+D52</f>
        <v>#REF!</v>
      </c>
      <c r="E50" s="65"/>
      <c r="F50" s="187" t="e">
        <f>F51+F52</f>
        <v>#REF!</v>
      </c>
      <c r="G50" s="65"/>
      <c r="H50" s="187" t="e">
        <f>H51+H52</f>
        <v>#REF!</v>
      </c>
      <c r="I50" s="65"/>
      <c r="J50" s="187" t="e">
        <f>J51+J52</f>
        <v>#REF!</v>
      </c>
      <c r="K50" s="94"/>
      <c r="L50" s="196"/>
      <c r="M50" s="187">
        <f t="shared" si="3"/>
        <v>0</v>
      </c>
      <c r="N50" s="187" t="e">
        <f t="shared" si="4"/>
        <v>#REF!</v>
      </c>
      <c r="O50" s="187">
        <f t="shared" si="0"/>
        <v>0</v>
      </c>
      <c r="P50" s="187" t="e">
        <f t="shared" si="5"/>
        <v>#REF!</v>
      </c>
      <c r="Q50" s="187">
        <f t="shared" si="1"/>
        <v>0</v>
      </c>
      <c r="R50" s="187" t="e">
        <f t="shared" si="6"/>
        <v>#REF!</v>
      </c>
      <c r="S50" s="187">
        <f t="shared" si="2"/>
        <v>0</v>
      </c>
      <c r="T50" s="187" t="e">
        <f t="shared" si="7"/>
        <v>#REF!</v>
      </c>
    </row>
    <row r="51" spans="1:20" ht="15.75">
      <c r="A51" s="28" t="s">
        <v>170</v>
      </c>
      <c r="B51" s="201" t="s">
        <v>146</v>
      </c>
      <c r="C51" s="71"/>
      <c r="D51" s="202" t="e">
        <f>D27+D35+D42</f>
        <v>#REF!</v>
      </c>
      <c r="E51" s="71"/>
      <c r="F51" s="202" t="e">
        <f>F27+F35+F42</f>
        <v>#REF!</v>
      </c>
      <c r="G51" s="71"/>
      <c r="H51" s="202" t="e">
        <f>H27+H35+H42</f>
        <v>#REF!</v>
      </c>
      <c r="I51" s="71"/>
      <c r="J51" s="202" t="e">
        <f>J27+J35+J42</f>
        <v>#REF!</v>
      </c>
      <c r="K51" s="95"/>
      <c r="L51" s="186"/>
      <c r="M51" s="202">
        <f t="shared" si="3"/>
        <v>0</v>
      </c>
      <c r="N51" s="202" t="e">
        <f t="shared" si="4"/>
        <v>#REF!</v>
      </c>
      <c r="O51" s="202">
        <f t="shared" si="0"/>
        <v>0</v>
      </c>
      <c r="P51" s="202" t="e">
        <f t="shared" si="5"/>
        <v>#REF!</v>
      </c>
      <c r="Q51" s="202">
        <f t="shared" si="1"/>
        <v>0</v>
      </c>
      <c r="R51" s="202" t="e">
        <f t="shared" si="6"/>
        <v>#REF!</v>
      </c>
      <c r="S51" s="202">
        <f t="shared" si="2"/>
        <v>0</v>
      </c>
      <c r="T51" s="202" t="e">
        <f t="shared" si="7"/>
        <v>#REF!</v>
      </c>
    </row>
    <row r="52" spans="1:20" ht="15.75">
      <c r="A52" s="28" t="s">
        <v>171</v>
      </c>
      <c r="B52" s="201" t="s">
        <v>141</v>
      </c>
      <c r="C52" s="71"/>
      <c r="D52" s="202" t="e">
        <f>D28+D36+D43</f>
        <v>#REF!</v>
      </c>
      <c r="E52" s="71"/>
      <c r="F52" s="202" t="e">
        <f>F28+F36+F43</f>
        <v>#REF!</v>
      </c>
      <c r="G52" s="71"/>
      <c r="H52" s="202" t="e">
        <f>H28+H36+H43</f>
        <v>#REF!</v>
      </c>
      <c r="I52" s="71"/>
      <c r="J52" s="202" t="e">
        <f>J28+J36+J43</f>
        <v>#REF!</v>
      </c>
      <c r="K52" s="95"/>
      <c r="L52" s="186"/>
      <c r="M52" s="202">
        <f t="shared" si="3"/>
        <v>0</v>
      </c>
      <c r="N52" s="202" t="e">
        <f t="shared" si="4"/>
        <v>#REF!</v>
      </c>
      <c r="O52" s="202">
        <f t="shared" si="0"/>
        <v>0</v>
      </c>
      <c r="P52" s="202" t="e">
        <f t="shared" si="5"/>
        <v>#REF!</v>
      </c>
      <c r="Q52" s="202">
        <f t="shared" si="1"/>
        <v>0</v>
      </c>
      <c r="R52" s="202" t="e">
        <f t="shared" si="6"/>
        <v>#REF!</v>
      </c>
      <c r="S52" s="202">
        <f t="shared" si="2"/>
        <v>0</v>
      </c>
      <c r="T52" s="202" t="e">
        <f t="shared" si="7"/>
        <v>#REF!</v>
      </c>
    </row>
    <row r="53" spans="1:17" ht="13.5" hidden="1">
      <c r="A53" s="102" t="s">
        <v>172</v>
      </c>
      <c r="B53" s="103" t="s">
        <v>143</v>
      </c>
      <c r="C53" s="224">
        <v>1.9263131866225296</v>
      </c>
      <c r="D53" s="225"/>
      <c r="E53" s="225">
        <v>0</v>
      </c>
      <c r="F53" s="225"/>
      <c r="G53" s="225">
        <v>9.878633500908602</v>
      </c>
      <c r="H53" s="225"/>
      <c r="I53" s="225">
        <v>17.62603125552242</v>
      </c>
      <c r="J53" s="226"/>
      <c r="K53" s="227"/>
      <c r="L53" s="227"/>
      <c r="M53" s="227"/>
      <c r="N53" s="227"/>
      <c r="O53" s="228"/>
      <c r="P53" s="228"/>
      <c r="Q53" s="228"/>
    </row>
    <row r="54" spans="1:17" ht="13.5">
      <c r="A54" s="177"/>
      <c r="B54" s="177"/>
      <c r="C54" s="177"/>
      <c r="D54" s="229"/>
      <c r="E54" s="229"/>
      <c r="F54" s="229"/>
      <c r="G54" s="229"/>
      <c r="H54" s="229"/>
      <c r="I54" s="229"/>
      <c r="J54" s="226"/>
      <c r="K54" s="227"/>
      <c r="L54" s="227"/>
      <c r="M54" s="227"/>
      <c r="N54" s="227"/>
      <c r="O54" s="228"/>
      <c r="P54" s="228"/>
      <c r="Q54" s="228"/>
    </row>
    <row r="55" spans="1:17" ht="13.5">
      <c r="A55" s="177"/>
      <c r="B55" s="177"/>
      <c r="C55" s="177"/>
      <c r="D55" s="229"/>
      <c r="E55" s="229"/>
      <c r="F55" s="229"/>
      <c r="G55" s="229"/>
      <c r="H55" s="229"/>
      <c r="I55" s="229"/>
      <c r="J55" s="226"/>
      <c r="K55" s="227"/>
      <c r="L55" s="227"/>
      <c r="M55" s="227"/>
      <c r="N55" s="227"/>
      <c r="O55" s="228"/>
      <c r="P55" s="228"/>
      <c r="Q55" s="228"/>
    </row>
    <row r="56" spans="2:10" s="2" customFormat="1" ht="13.5" hidden="1">
      <c r="B56" s="52" t="s">
        <v>62</v>
      </c>
      <c r="C56" s="93"/>
      <c r="D56" s="230"/>
      <c r="E56" s="230"/>
      <c r="F56" s="230"/>
      <c r="G56" s="231"/>
      <c r="H56" s="232"/>
      <c r="I56" s="232" t="s">
        <v>63</v>
      </c>
      <c r="J56" s="231"/>
    </row>
    <row r="57" spans="1:17" ht="15">
      <c r="A57" s="233" t="s">
        <v>173</v>
      </c>
      <c r="B57" s="234"/>
      <c r="C57" s="234"/>
      <c r="D57" s="234"/>
      <c r="E57" s="234"/>
      <c r="F57" s="234"/>
      <c r="G57" s="234"/>
      <c r="H57" s="234"/>
      <c r="I57" s="235" t="s">
        <v>199</v>
      </c>
      <c r="J57" s="226"/>
      <c r="K57" s="228"/>
      <c r="L57" s="228"/>
      <c r="M57" s="228"/>
      <c r="N57" s="228"/>
      <c r="O57" s="228"/>
      <c r="P57" s="228"/>
      <c r="Q57" s="228"/>
    </row>
  </sheetData>
  <sheetProtection selectLockedCells="1" selectUnlockedCells="1"/>
  <mergeCells count="22">
    <mergeCell ref="A45:J45"/>
    <mergeCell ref="K45:T45"/>
    <mergeCell ref="A12:J12"/>
    <mergeCell ref="K12:T12"/>
    <mergeCell ref="A30:J30"/>
    <mergeCell ref="K30:T30"/>
    <mergeCell ref="A38:J38"/>
    <mergeCell ref="K38:T38"/>
    <mergeCell ref="K7:K8"/>
    <mergeCell ref="L7:L8"/>
    <mergeCell ref="M7:N7"/>
    <mergeCell ref="O7:P7"/>
    <mergeCell ref="Q7:R7"/>
    <mergeCell ref="S7:T7"/>
    <mergeCell ref="A5:J5"/>
    <mergeCell ref="C6:G6"/>
    <mergeCell ref="A7:A8"/>
    <mergeCell ref="B7:B8"/>
    <mergeCell ref="C7:D7"/>
    <mergeCell ref="E7:F7"/>
    <mergeCell ref="G7:H7"/>
    <mergeCell ref="I7:J7"/>
  </mergeCells>
  <printOptions horizontalCentered="1"/>
  <pageMargins left="0.43333333333333335" right="0.43333333333333335" top="0.5513888888888889" bottom="0.15763888888888888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2019-04-25T08:10:48Z</cp:lastPrinted>
  <dcterms:created xsi:type="dcterms:W3CDTF">2017-10-10T11:57:42Z</dcterms:created>
  <dcterms:modified xsi:type="dcterms:W3CDTF">2019-07-31T13:13:36Z</dcterms:modified>
  <cp:category/>
  <cp:version/>
  <cp:contentType/>
  <cp:contentStatus/>
</cp:coreProperties>
</file>