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20" windowWidth="20490" windowHeight="7230" tabRatio="938" firstSheet="20" activeTab="20"/>
  </bookViews>
  <sheets>
    <sheet name="Електроенергия" sheetId="51" state="hidden" r:id="rId1"/>
    <sheet name="1_2_паливо" sheetId="50" state="hidden" r:id="rId2"/>
    <sheet name="Пояснення_калькуляція" sheetId="36" state="hidden" r:id="rId3"/>
    <sheet name="2_1_1_розрах_утрим вир приміщ" sheetId="31" state="hidden" r:id="rId4"/>
    <sheet name=" 2_1_2_ТО та повірка ПО" sheetId="32" state="hidden" r:id="rId5"/>
    <sheet name="АДМІН_МШП, канц." sheetId="46" state="hidden" r:id="rId6"/>
    <sheet name="АДМІН_ремонт та обсл. ОЗ" sheetId="28" state="hidden" r:id="rId7"/>
    <sheet name="АДМІН_пошт., телекомун." sheetId="29" state="hidden" r:id="rId8"/>
    <sheet name="АДМІН_РКО" sheetId="38" state="hidden" r:id="rId9"/>
    <sheet name="2_1_7_розрах ПММ" sheetId="26" state="hidden" r:id="rId10"/>
    <sheet name="План-график роботи водія" sheetId="43" state="hidden" r:id="rId11"/>
    <sheet name="План-график роботи водія 301120" sheetId="54" state="hidden" r:id="rId12"/>
    <sheet name="2_1_8_адмін оренда" sheetId="35" state="hidden" r:id="rId13"/>
    <sheet name="2_1_9_навчання з охорони праці" sheetId="40" state="hidden" r:id="rId14"/>
    <sheet name="2_2_ФОП" sheetId="15" state="hidden" r:id="rId15"/>
    <sheet name="Штатний розпис (2)" sheetId="48" state="hidden" r:id="rId16"/>
    <sheet name="Т" sheetId="22" state="hidden" r:id="rId17"/>
    <sheet name="3_Т на виробництво" sheetId="18" state="hidden" r:id="rId18"/>
    <sheet name="4_Т на транспортування" sheetId="19" state="hidden" r:id="rId19"/>
    <sheet name="5_Т на постачання" sheetId="20" state="hidden" r:id="rId20"/>
    <sheet name="6_Т двоставковий" sheetId="21" r:id="rId21"/>
    <sheet name="6_Т двоставковий (2)" sheetId="52" state="hidden" r:id="rId22"/>
    <sheet name="З-Т на відрядження" sheetId="49" state="hidden" r:id="rId23"/>
    <sheet name="структура" sheetId="53" state="hidden" r:id="rId24"/>
    <sheet name="2_2_ФОП_В2" sheetId="24" state="hidden" r:id="rId25"/>
  </sheets>
  <externalReferences>
    <externalReference r:id="rId26"/>
    <externalReference r:id="rId27"/>
  </externalReferences>
  <calcPr calcId="124519"/>
</workbook>
</file>

<file path=xl/calcChain.xml><?xml version="1.0" encoding="utf-8"?>
<calcChain xmlns="http://schemas.openxmlformats.org/spreadsheetml/2006/main">
  <c r="H36" i="19"/>
  <c r="E14" i="21" l="1"/>
  <c r="H24" i="18"/>
  <c r="H15"/>
  <c r="D40" i="48" l="1"/>
  <c r="E46" i="26" l="1"/>
  <c r="E44"/>
  <c r="K36"/>
  <c r="K30"/>
  <c r="K24"/>
  <c r="K18"/>
  <c r="K12"/>
  <c r="K6"/>
  <c r="J13" i="38"/>
  <c r="F22" i="54"/>
  <c r="G22" s="1"/>
  <c r="H22" s="1"/>
  <c r="H21"/>
  <c r="G21"/>
  <c r="F21"/>
  <c r="L20"/>
  <c r="K20"/>
  <c r="G20"/>
  <c r="F20"/>
  <c r="L19"/>
  <c r="K19"/>
  <c r="G19"/>
  <c r="F19"/>
  <c r="L18"/>
  <c r="K18"/>
  <c r="G18"/>
  <c r="F18"/>
  <c r="L17"/>
  <c r="K17"/>
  <c r="G17"/>
  <c r="F17"/>
  <c r="L16"/>
  <c r="K16"/>
  <c r="G16"/>
  <c r="F16"/>
  <c r="F10"/>
  <c r="G10" s="1"/>
  <c r="H12" s="1"/>
  <c r="F9"/>
  <c r="G9" s="1"/>
  <c r="H9" s="1"/>
  <c r="F8"/>
  <c r="G8" s="1"/>
  <c r="H8" s="1"/>
  <c r="H7"/>
  <c r="G7"/>
  <c r="F7"/>
  <c r="F24" l="1"/>
  <c r="H24"/>
  <c r="P71" i="53"/>
  <c r="P70"/>
  <c r="P69"/>
  <c r="P68"/>
  <c r="P67"/>
  <c r="P66"/>
  <c r="P65"/>
  <c r="P64"/>
  <c r="P63"/>
  <c r="P62"/>
  <c r="P61"/>
  <c r="P60"/>
  <c r="P59"/>
  <c r="P58"/>
  <c r="P57"/>
  <c r="P56"/>
  <c r="P55"/>
  <c r="P54"/>
  <c r="P51"/>
  <c r="H50"/>
  <c r="H53" s="1"/>
  <c r="P53" s="1"/>
  <c r="P49"/>
  <c r="P48"/>
  <c r="P45"/>
  <c r="P44"/>
  <c r="P43"/>
  <c r="P42"/>
  <c r="P41"/>
  <c r="P40"/>
  <c r="P38"/>
  <c r="P37"/>
  <c r="P36"/>
  <c r="P35"/>
  <c r="P34"/>
  <c r="P33"/>
  <c r="H33"/>
  <c r="H32"/>
  <c r="P32" s="1"/>
  <c r="H31"/>
  <c r="P31" s="1"/>
  <c r="H30"/>
  <c r="H29" s="1"/>
  <c r="O29"/>
  <c r="N29"/>
  <c r="M29"/>
  <c r="L29"/>
  <c r="K29"/>
  <c r="J29"/>
  <c r="I29"/>
  <c r="P28"/>
  <c r="H28"/>
  <c r="H27"/>
  <c r="P27" s="1"/>
  <c r="P26"/>
  <c r="H26"/>
  <c r="H25" s="1"/>
  <c r="P25" s="1"/>
  <c r="O25"/>
  <c r="N25"/>
  <c r="M25"/>
  <c r="L25"/>
  <c r="K25"/>
  <c r="J25"/>
  <c r="I25"/>
  <c r="H24"/>
  <c r="P24" s="1"/>
  <c r="H23"/>
  <c r="P23" s="1"/>
  <c r="H22"/>
  <c r="P22" s="1"/>
  <c r="O21"/>
  <c r="N21"/>
  <c r="M21"/>
  <c r="L21"/>
  <c r="K21"/>
  <c r="J21"/>
  <c r="I21"/>
  <c r="H20"/>
  <c r="P20" s="1"/>
  <c r="P19"/>
  <c r="H19"/>
  <c r="H18"/>
  <c r="P18" s="1"/>
  <c r="P17"/>
  <c r="P16"/>
  <c r="H16"/>
  <c r="H15"/>
  <c r="P15" s="1"/>
  <c r="O14"/>
  <c r="O13" s="1"/>
  <c r="N14"/>
  <c r="M14"/>
  <c r="M13" s="1"/>
  <c r="L14"/>
  <c r="L13" s="1"/>
  <c r="K14"/>
  <c r="K13" s="1"/>
  <c r="J14"/>
  <c r="I14"/>
  <c r="I13" s="1"/>
  <c r="N13"/>
  <c r="J13"/>
  <c r="T20" i="15"/>
  <c r="S20"/>
  <c r="R20"/>
  <c r="L20"/>
  <c r="K20"/>
  <c r="J20"/>
  <c r="I20"/>
  <c r="H20"/>
  <c r="G12"/>
  <c r="K28" i="48"/>
  <c r="K39" i="53" l="1"/>
  <c r="K46" s="1"/>
  <c r="O39"/>
  <c r="O46" s="1"/>
  <c r="J39"/>
  <c r="J46" s="1"/>
  <c r="N39"/>
  <c r="N46" s="1"/>
  <c r="I39"/>
  <c r="I46" s="1"/>
  <c r="M39"/>
  <c r="M46" s="1"/>
  <c r="P29"/>
  <c r="L39"/>
  <c r="L46" s="1"/>
  <c r="H14"/>
  <c r="P30"/>
  <c r="H21"/>
  <c r="P21" s="1"/>
  <c r="H52"/>
  <c r="P52" s="1"/>
  <c r="P50"/>
  <c r="E58" i="52"/>
  <c r="E55"/>
  <c r="E54"/>
  <c r="E50"/>
  <c r="E49"/>
  <c r="E46"/>
  <c r="G22" i="20"/>
  <c r="G21" s="1"/>
  <c r="G23"/>
  <c r="G12"/>
  <c r="G16"/>
  <c r="G17"/>
  <c r="G25"/>
  <c r="F30" i="24"/>
  <c r="E9"/>
  <c r="F9"/>
  <c r="E10"/>
  <c r="F10"/>
  <c r="E11"/>
  <c r="F11"/>
  <c r="E12"/>
  <c r="F12"/>
  <c r="E13"/>
  <c r="F13"/>
  <c r="F14"/>
  <c r="F19"/>
  <c r="F21"/>
  <c r="C14"/>
  <c r="C21"/>
  <c r="D14"/>
  <c r="D21"/>
  <c r="E21"/>
  <c r="E20"/>
  <c r="E16"/>
  <c r="E19"/>
  <c r="E14"/>
  <c r="I10" i="49"/>
  <c r="H11"/>
  <c r="H6"/>
  <c r="H7"/>
  <c r="H8"/>
  <c r="H9"/>
  <c r="H12"/>
  <c r="J10"/>
  <c r="H30" i="18"/>
  <c r="H29" s="1"/>
  <c r="H31"/>
  <c r="P15"/>
  <c r="H18"/>
  <c r="H19"/>
  <c r="H14"/>
  <c r="H23"/>
  <c r="H26"/>
  <c r="H27"/>
  <c r="H25"/>
  <c r="P25" s="1"/>
  <c r="H33"/>
  <c r="H12" i="19"/>
  <c r="H18"/>
  <c r="H22"/>
  <c r="H27"/>
  <c r="H28"/>
  <c r="H26"/>
  <c r="E42" i="52"/>
  <c r="E43"/>
  <c r="E23"/>
  <c r="E20"/>
  <c r="E29"/>
  <c r="E28"/>
  <c r="E53"/>
  <c r="G53"/>
  <c r="E52"/>
  <c r="G52"/>
  <c r="E39"/>
  <c r="G37"/>
  <c r="E35"/>
  <c r="E34"/>
  <c r="E31"/>
  <c r="E30"/>
  <c r="G29"/>
  <c r="G28"/>
  <c r="E27"/>
  <c r="E26"/>
  <c r="E25"/>
  <c r="G22"/>
  <c r="G21"/>
  <c r="G20"/>
  <c r="G17"/>
  <c r="G16"/>
  <c r="E51" i="21"/>
  <c r="E35"/>
  <c r="E36"/>
  <c r="E48"/>
  <c r="E47"/>
  <c r="E16"/>
  <c r="E13"/>
  <c r="E22" s="1"/>
  <c r="E43"/>
  <c r="E42"/>
  <c r="E39"/>
  <c r="E32"/>
  <c r="G30"/>
  <c r="E28"/>
  <c r="E27"/>
  <c r="E24"/>
  <c r="E23"/>
  <c r="E20"/>
  <c r="E19"/>
  <c r="E18"/>
  <c r="G15"/>
  <c r="G14"/>
  <c r="G10"/>
  <c r="G9"/>
  <c r="G40" i="20"/>
  <c r="I58" i="19"/>
  <c r="H54"/>
  <c r="H51"/>
  <c r="H49"/>
  <c r="H48"/>
  <c r="P71" i="18"/>
  <c r="P70"/>
  <c r="P69"/>
  <c r="P68"/>
  <c r="P67"/>
  <c r="P66"/>
  <c r="P65"/>
  <c r="P64"/>
  <c r="P63"/>
  <c r="P62"/>
  <c r="P61"/>
  <c r="P60"/>
  <c r="P59"/>
  <c r="P58"/>
  <c r="P57"/>
  <c r="P56"/>
  <c r="P55"/>
  <c r="P54"/>
  <c r="H50"/>
  <c r="H53"/>
  <c r="P53"/>
  <c r="H52"/>
  <c r="P52" s="1"/>
  <c r="P51"/>
  <c r="P50"/>
  <c r="P49"/>
  <c r="P48"/>
  <c r="O29"/>
  <c r="O14"/>
  <c r="O21"/>
  <c r="O25"/>
  <c r="O13"/>
  <c r="O39"/>
  <c r="O46"/>
  <c r="N29"/>
  <c r="N14"/>
  <c r="N21"/>
  <c r="N25"/>
  <c r="N13"/>
  <c r="N39"/>
  <c r="N46"/>
  <c r="M29"/>
  <c r="M14"/>
  <c r="M21"/>
  <c r="M25"/>
  <c r="M13"/>
  <c r="M39"/>
  <c r="M46"/>
  <c r="L29"/>
  <c r="L14"/>
  <c r="L21"/>
  <c r="L25"/>
  <c r="L13"/>
  <c r="L39"/>
  <c r="L46"/>
  <c r="K29"/>
  <c r="K14"/>
  <c r="K21"/>
  <c r="K25"/>
  <c r="K13"/>
  <c r="K39"/>
  <c r="K46"/>
  <c r="J29"/>
  <c r="J14"/>
  <c r="J21"/>
  <c r="J25"/>
  <c r="J13"/>
  <c r="J39"/>
  <c r="J46"/>
  <c r="I29"/>
  <c r="I14"/>
  <c r="I21"/>
  <c r="I25"/>
  <c r="I13"/>
  <c r="I39"/>
  <c r="I46"/>
  <c r="P45"/>
  <c r="P44"/>
  <c r="P43"/>
  <c r="P42"/>
  <c r="P41"/>
  <c r="P40"/>
  <c r="P38"/>
  <c r="P37"/>
  <c r="P36"/>
  <c r="P35"/>
  <c r="P34"/>
  <c r="P33"/>
  <c r="P32"/>
  <c r="P31"/>
  <c r="P28"/>
  <c r="P27"/>
  <c r="P26"/>
  <c r="P24"/>
  <c r="P23"/>
  <c r="P20"/>
  <c r="P19"/>
  <c r="P18"/>
  <c r="P17"/>
  <c r="P16"/>
  <c r="D44" i="48"/>
  <c r="F16"/>
  <c r="F17"/>
  <c r="F18"/>
  <c r="F19"/>
  <c r="F20"/>
  <c r="F21"/>
  <c r="G21"/>
  <c r="F23"/>
  <c r="G23"/>
  <c r="F24"/>
  <c r="G24"/>
  <c r="F25"/>
  <c r="G25"/>
  <c r="G26"/>
  <c r="F31"/>
  <c r="G31"/>
  <c r="G32"/>
  <c r="G35"/>
  <c r="G28"/>
  <c r="G36"/>
  <c r="F26"/>
  <c r="F28"/>
  <c r="F32"/>
  <c r="F36"/>
  <c r="S15"/>
  <c r="S16"/>
  <c r="S17"/>
  <c r="S21"/>
  <c r="S23"/>
  <c r="S25"/>
  <c r="S28"/>
  <c r="S35"/>
  <c r="P35"/>
  <c r="K35"/>
  <c r="L35"/>
  <c r="F35"/>
  <c r="K34"/>
  <c r="L34"/>
  <c r="K33"/>
  <c r="L33"/>
  <c r="K32"/>
  <c r="L32"/>
  <c r="K30"/>
  <c r="L30"/>
  <c r="L28"/>
  <c r="E26"/>
  <c r="D26"/>
  <c r="C26"/>
  <c r="K25"/>
  <c r="J25"/>
  <c r="K24"/>
  <c r="J24"/>
  <c r="K23"/>
  <c r="J23"/>
  <c r="E21"/>
  <c r="D21"/>
  <c r="C21"/>
  <c r="G20"/>
  <c r="G19"/>
  <c r="G18"/>
  <c r="G17"/>
  <c r="G16"/>
  <c r="H10" i="15"/>
  <c r="H11"/>
  <c r="H12"/>
  <c r="H13"/>
  <c r="H14"/>
  <c r="H15"/>
  <c r="H16"/>
  <c r="H17"/>
  <c r="H21"/>
  <c r="H22" s="1"/>
  <c r="T24"/>
  <c r="S24"/>
  <c r="R24"/>
  <c r="Q24"/>
  <c r="P24"/>
  <c r="O24"/>
  <c r="N24"/>
  <c r="M24"/>
  <c r="L24"/>
  <c r="K24"/>
  <c r="J24"/>
  <c r="I24"/>
  <c r="G18"/>
  <c r="G20"/>
  <c r="G22" s="1"/>
  <c r="C22"/>
  <c r="C24" s="1"/>
  <c r="C18"/>
  <c r="H23"/>
  <c r="G23"/>
  <c r="H6" i="40"/>
  <c r="H7"/>
  <c r="H9"/>
  <c r="H10"/>
  <c r="H11"/>
  <c r="H14"/>
  <c r="H15"/>
  <c r="H16"/>
  <c r="H17"/>
  <c r="H18"/>
  <c r="H19"/>
  <c r="H20"/>
  <c r="H21"/>
  <c r="H22"/>
  <c r="H23"/>
  <c r="H24"/>
  <c r="H25"/>
  <c r="H26"/>
  <c r="H27"/>
  <c r="H28"/>
  <c r="H29"/>
  <c r="H31"/>
  <c r="G15" i="35"/>
  <c r="H8"/>
  <c r="H9"/>
  <c r="H11"/>
  <c r="F7" i="43"/>
  <c r="G7"/>
  <c r="H7"/>
  <c r="F8"/>
  <c r="G8"/>
  <c r="H8"/>
  <c r="F9"/>
  <c r="G9" s="1"/>
  <c r="H9" s="1"/>
  <c r="F10"/>
  <c r="G10"/>
  <c r="H12"/>
  <c r="F21"/>
  <c r="G21"/>
  <c r="H21"/>
  <c r="F22"/>
  <c r="G22" s="1"/>
  <c r="H22" s="1"/>
  <c r="F16"/>
  <c r="F17"/>
  <c r="F18"/>
  <c r="F19"/>
  <c r="F20"/>
  <c r="K20"/>
  <c r="L20"/>
  <c r="G20"/>
  <c r="K19"/>
  <c r="L19"/>
  <c r="G19"/>
  <c r="K18"/>
  <c r="L18"/>
  <c r="G18"/>
  <c r="K17"/>
  <c r="L17"/>
  <c r="G17"/>
  <c r="K16"/>
  <c r="L16"/>
  <c r="G16"/>
  <c r="G6" i="26"/>
  <c r="I6"/>
  <c r="J6"/>
  <c r="L6"/>
  <c r="G12"/>
  <c r="I12"/>
  <c r="J12"/>
  <c r="L12"/>
  <c r="G18"/>
  <c r="I18"/>
  <c r="J18"/>
  <c r="L18"/>
  <c r="G24"/>
  <c r="I24"/>
  <c r="J24"/>
  <c r="L24"/>
  <c r="G30"/>
  <c r="I30"/>
  <c r="J30"/>
  <c r="L30"/>
  <c r="G36"/>
  <c r="I36"/>
  <c r="J36"/>
  <c r="L36"/>
  <c r="J41"/>
  <c r="I41"/>
  <c r="H15" i="38"/>
  <c r="J15"/>
  <c r="H16"/>
  <c r="J16"/>
  <c r="J14"/>
  <c r="H10"/>
  <c r="J10"/>
  <c r="H11"/>
  <c r="J11"/>
  <c r="H12"/>
  <c r="J12" s="1"/>
  <c r="J9" s="1"/>
  <c r="J17" s="1"/>
  <c r="I11" i="29"/>
  <c r="K11"/>
  <c r="I12"/>
  <c r="K12"/>
  <c r="K9"/>
  <c r="K14"/>
  <c r="K15"/>
  <c r="K16"/>
  <c r="I17"/>
  <c r="K17"/>
  <c r="I18"/>
  <c r="K18"/>
  <c r="I19"/>
  <c r="K19"/>
  <c r="I20"/>
  <c r="K20"/>
  <c r="I21"/>
  <c r="K21" s="1"/>
  <c r="I22"/>
  <c r="K22"/>
  <c r="I23"/>
  <c r="K23"/>
  <c r="I24"/>
  <c r="K24" s="1"/>
  <c r="I25"/>
  <c r="K25" s="1"/>
  <c r="I26"/>
  <c r="K26" s="1"/>
  <c r="H15"/>
  <c r="H14"/>
  <c r="I10"/>
  <c r="F17" i="28"/>
  <c r="G17"/>
  <c r="F18"/>
  <c r="G18"/>
  <c r="F19"/>
  <c r="G19"/>
  <c r="F20"/>
  <c r="G20"/>
  <c r="G21"/>
  <c r="I17"/>
  <c r="G10" i="46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9"/>
  <c r="G62"/>
  <c r="G63"/>
  <c r="G64"/>
  <c r="G65"/>
  <c r="G66"/>
  <c r="G67"/>
  <c r="G68"/>
  <c r="G69"/>
  <c r="G70"/>
  <c r="G71"/>
  <c r="G72"/>
  <c r="G73"/>
  <c r="G61"/>
  <c r="G75"/>
  <c r="G76"/>
  <c r="G77"/>
  <c r="G78"/>
  <c r="G79"/>
  <c r="G80"/>
  <c r="G81"/>
  <c r="G74"/>
  <c r="G82"/>
  <c r="J46" i="32"/>
  <c r="J47"/>
  <c r="J48"/>
  <c r="J8"/>
  <c r="J9"/>
  <c r="J10"/>
  <c r="J11"/>
  <c r="J12"/>
  <c r="J13"/>
  <c r="J14"/>
  <c r="J15"/>
  <c r="J16"/>
  <c r="J17"/>
  <c r="J34"/>
  <c r="J49"/>
  <c r="J32"/>
  <c r="J31"/>
  <c r="J30"/>
  <c r="J29"/>
  <c r="J28"/>
  <c r="J27"/>
  <c r="J26"/>
  <c r="J25"/>
  <c r="J24"/>
  <c r="J23"/>
  <c r="J22"/>
  <c r="J20"/>
  <c r="J19"/>
  <c r="J18"/>
  <c r="I13" i="31"/>
  <c r="I14"/>
  <c r="I15"/>
  <c r="I16"/>
  <c r="I17"/>
  <c r="I18"/>
  <c r="I19"/>
  <c r="I20"/>
  <c r="I21"/>
  <c r="I22"/>
  <c r="I23"/>
  <c r="I24"/>
  <c r="I25"/>
  <c r="I38"/>
  <c r="I36"/>
  <c r="I35"/>
  <c r="I34"/>
  <c r="I33"/>
  <c r="I32"/>
  <c r="I31"/>
  <c r="I30"/>
  <c r="I29"/>
  <c r="I28"/>
  <c r="I27"/>
  <c r="I26"/>
  <c r="F25"/>
  <c r="M37" i="50"/>
  <c r="E34"/>
  <c r="G34"/>
  <c r="I34"/>
  <c r="I36"/>
  <c r="I52"/>
  <c r="H34"/>
  <c r="H36"/>
  <c r="H52"/>
  <c r="G36"/>
  <c r="G52"/>
  <c r="E36"/>
  <c r="E52"/>
  <c r="D52"/>
  <c r="C50"/>
  <c r="C52"/>
  <c r="I50"/>
  <c r="H50"/>
  <c r="G50"/>
  <c r="E50"/>
  <c r="D50"/>
  <c r="O9"/>
  <c r="P10" i="51"/>
  <c r="P12"/>
  <c r="P15"/>
  <c r="P19"/>
  <c r="P23"/>
  <c r="O10"/>
  <c r="O12"/>
  <c r="O15"/>
  <c r="O19"/>
  <c r="O23"/>
  <c r="N12"/>
  <c r="N15"/>
  <c r="N19"/>
  <c r="N23"/>
  <c r="M12"/>
  <c r="M15"/>
  <c r="M19"/>
  <c r="M23"/>
  <c r="L12"/>
  <c r="L15"/>
  <c r="L19"/>
  <c r="L23"/>
  <c r="K12"/>
  <c r="K15"/>
  <c r="K19"/>
  <c r="K23"/>
  <c r="J12"/>
  <c r="J15"/>
  <c r="J19"/>
  <c r="J23"/>
  <c r="I12"/>
  <c r="I15"/>
  <c r="I19"/>
  <c r="I23"/>
  <c r="H12"/>
  <c r="H15"/>
  <c r="H19"/>
  <c r="H23"/>
  <c r="G10"/>
  <c r="G12"/>
  <c r="G15"/>
  <c r="G19"/>
  <c r="G23"/>
  <c r="F10"/>
  <c r="F12"/>
  <c r="F15"/>
  <c r="F19"/>
  <c r="F23"/>
  <c r="E10"/>
  <c r="E12"/>
  <c r="E15"/>
  <c r="E19"/>
  <c r="E23"/>
  <c r="D23"/>
  <c r="D19"/>
  <c r="D15"/>
  <c r="P13"/>
  <c r="O13"/>
  <c r="N13"/>
  <c r="M13"/>
  <c r="L13"/>
  <c r="K13"/>
  <c r="J13"/>
  <c r="I13"/>
  <c r="H13"/>
  <c r="G13"/>
  <c r="F13"/>
  <c r="E13"/>
  <c r="D13"/>
  <c r="D12"/>
  <c r="D11"/>
  <c r="D10"/>
  <c r="H11" i="19" l="1"/>
  <c r="G13" i="21"/>
  <c r="L41" i="26"/>
  <c r="K13" i="29"/>
  <c r="K27" s="1"/>
  <c r="F24" i="43"/>
  <c r="H24"/>
  <c r="E21" i="21"/>
  <c r="G22"/>
  <c r="G8" i="22"/>
  <c r="P29" i="18"/>
  <c r="P14"/>
  <c r="P30"/>
  <c r="G14" i="20"/>
  <c r="G13" s="1"/>
  <c r="G10" s="1"/>
  <c r="G31" s="1"/>
  <c r="G38" s="1"/>
  <c r="H13" i="53"/>
  <c r="P14"/>
  <c r="G24" i="15"/>
  <c r="H18"/>
  <c r="H24" s="1"/>
  <c r="H32" s="1"/>
  <c r="H33" s="1"/>
  <c r="H43" i="19" l="1"/>
  <c r="H44" s="1"/>
  <c r="E38" i="52"/>
  <c r="G38" s="1"/>
  <c r="E31" i="21"/>
  <c r="G31" s="1"/>
  <c r="E46"/>
  <c r="G21"/>
  <c r="H8" i="22"/>
  <c r="G13"/>
  <c r="H13" s="1"/>
  <c r="E45" i="52"/>
  <c r="E38" i="21"/>
  <c r="G39" i="20"/>
  <c r="P13" i="53"/>
  <c r="H39"/>
  <c r="E34" i="21" l="1"/>
  <c r="G34" s="1"/>
  <c r="E41" i="52"/>
  <c r="G41" s="1"/>
  <c r="E45" i="21"/>
  <c r="G45" s="1"/>
  <c r="G46"/>
  <c r="E40" i="52"/>
  <c r="G40" s="1"/>
  <c r="E48"/>
  <c r="G45"/>
  <c r="G38" i="21"/>
  <c r="E41"/>
  <c r="H46" i="53"/>
  <c r="P39"/>
  <c r="E33" i="21" l="1"/>
  <c r="G33" s="1"/>
  <c r="E10" i="22"/>
  <c r="F10" s="1"/>
  <c r="E40" i="21"/>
  <c r="G40" s="1"/>
  <c r="E12" i="22"/>
  <c r="F12" s="1"/>
  <c r="G41" i="21"/>
  <c r="E47" i="52"/>
  <c r="G47" s="1"/>
  <c r="G48"/>
  <c r="P46" i="53"/>
  <c r="H47"/>
  <c r="P47" s="1"/>
  <c r="H22" i="18" l="1"/>
  <c r="H21" l="1"/>
  <c r="P22"/>
  <c r="P21" l="1"/>
  <c r="H13"/>
  <c r="P13" l="1"/>
  <c r="H39"/>
  <c r="J17" i="21" l="1"/>
  <c r="E17" s="1"/>
  <c r="J24" i="52"/>
  <c r="E24" s="1"/>
  <c r="P39" i="18"/>
  <c r="H46"/>
  <c r="E26" i="21" l="1"/>
  <c r="E50" s="1"/>
  <c r="G17"/>
  <c r="E12"/>
  <c r="G12" s="1"/>
  <c r="E19" i="52"/>
  <c r="G19" s="1"/>
  <c r="G24"/>
  <c r="E33"/>
  <c r="H47" i="18"/>
  <c r="P47" s="1"/>
  <c r="P46"/>
  <c r="G33" i="52" l="1"/>
  <c r="E32"/>
  <c r="E57"/>
  <c r="G57" s="1"/>
  <c r="E25" i="21"/>
  <c r="E49" s="1"/>
  <c r="G50"/>
  <c r="E7" i="22"/>
  <c r="G26" i="21"/>
  <c r="E13" i="22" l="1"/>
  <c r="F13" s="1"/>
  <c r="F7"/>
  <c r="E56" i="52"/>
  <c r="G56" s="1"/>
  <c r="G32"/>
  <c r="G49" i="21"/>
  <c r="G25"/>
</calcChain>
</file>

<file path=xl/sharedStrings.xml><?xml version="1.0" encoding="utf-8"?>
<sst xmlns="http://schemas.openxmlformats.org/spreadsheetml/2006/main" count="2179" uniqueCount="774">
  <si>
    <t>Одиниця виміру</t>
  </si>
  <si>
    <t>Всього</t>
  </si>
  <si>
    <t>3.1</t>
  </si>
  <si>
    <t>%</t>
  </si>
  <si>
    <t>грн</t>
  </si>
  <si>
    <t>Директор</t>
  </si>
  <si>
    <t>М.П.</t>
  </si>
  <si>
    <t>№ з/п</t>
  </si>
  <si>
    <t>Показники</t>
  </si>
  <si>
    <t>Базовий період (факт)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</si>
  <si>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</si>
  <si>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</si>
  <si>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</si>
  <si>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</si>
  <si>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</si>
  <si>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</si>
  <si>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</si>
  <si>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</si>
  <si>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</si>
  <si>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</si>
  <si>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</si>
  <si>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</si>
  <si>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Гкал</t>
  </si>
  <si>
    <t>1.1</t>
  </si>
  <si>
    <t>-</t>
  </si>
  <si>
    <t>1.2</t>
  </si>
  <si>
    <t>2.1</t>
  </si>
  <si>
    <t>2.2</t>
  </si>
  <si>
    <t>4.1</t>
  </si>
  <si>
    <t>5.1</t>
  </si>
  <si>
    <t>5.2</t>
  </si>
  <si>
    <t>5.3</t>
  </si>
  <si>
    <t>Гкал/год</t>
  </si>
  <si>
    <t>6.1</t>
  </si>
  <si>
    <t>населення</t>
  </si>
  <si>
    <t>6.2</t>
  </si>
  <si>
    <t>бюджетних установ</t>
  </si>
  <si>
    <t>6.3</t>
  </si>
  <si>
    <t>інших споживачів</t>
  </si>
  <si>
    <t>Додаток 3</t>
  </si>
  <si>
    <t xml:space="preserve">Розрахунок </t>
  </si>
  <si>
    <t>тарифів на виробництво теплової енергії</t>
  </si>
  <si>
    <t>Без ПДВ</t>
  </si>
  <si>
    <t>Сумарні та середньозважені показники</t>
  </si>
  <si>
    <t>Виробництво теплової енергії для потреб населення</t>
  </si>
  <si>
    <t>Виробництво теплової енергії для  потреб бюджетних установ</t>
  </si>
  <si>
    <t>Виробництво теплової енергії для  потреб інших споживачів</t>
  </si>
  <si>
    <t>період, попередній базовому (факт)</t>
  </si>
  <si>
    <t>базовий період (факт)</t>
  </si>
  <si>
    <t>передбачено діючим тарифом</t>
  </si>
  <si>
    <t>Плановий період</t>
  </si>
  <si>
    <t>плановий період</t>
  </si>
  <si>
    <t>Виробнича собівартість, у т.ч.:</t>
  </si>
  <si>
    <t>тис. грн</t>
  </si>
  <si>
    <t>прямі матеріальні витрати, у т.ч.:</t>
  </si>
  <si>
    <t>1.1.1</t>
  </si>
  <si>
    <t>паливо</t>
  </si>
  <si>
    <t>1.1.2</t>
  </si>
  <si>
    <t>електроенергія</t>
  </si>
  <si>
    <t>1.1.3</t>
  </si>
  <si>
    <t>покупна теплова енергія та  собівартість теплової енергії власних ТЕЦ, ТЕС, АЕС, когенераційних установок</t>
  </si>
  <si>
    <t>1.1.4</t>
  </si>
  <si>
    <t>вода для технологічних потреб та водовідведення</t>
  </si>
  <si>
    <t>1.1.5</t>
  </si>
  <si>
    <t>матеріали, запасні  частини та інші матеріальні ресурси</t>
  </si>
  <si>
    <t>прямі витрати на оплату праці</t>
  </si>
  <si>
    <t>1.3</t>
  </si>
  <si>
    <t>інші прямі витрати, у т.ч.:</t>
  </si>
  <si>
    <t>1.3.1</t>
  </si>
  <si>
    <t>відрахування 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</si>
  <si>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</si>
  <si>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</si>
  <si>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</si>
  <si>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</si>
  <si>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</si>
  <si>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у т.ч.:</t>
  </si>
  <si>
    <t>1.4.1</t>
  </si>
  <si>
    <t>витрати на оплату праці</t>
  </si>
  <si>
    <t>1.4.2</t>
  </si>
  <si>
    <t>1.4.3</t>
  </si>
  <si>
    <t>інші витрати</t>
  </si>
  <si>
    <t>Адміністративні витрати, у т.ч.:</t>
  </si>
  <si>
    <t>відрахування на соціальні заходи</t>
  </si>
  <si>
    <t>2.3</t>
  </si>
  <si>
    <t>Витрати на збут, у т.ч.:</t>
  </si>
  <si>
    <t>3.2</t>
  </si>
  <si>
    <t>3.3</t>
  </si>
  <si>
    <t>Інші операційні витрати*</t>
  </si>
  <si>
    <t>Фінансові витрати</t>
  </si>
  <si>
    <r>
      <t>Повна собівартість</t>
    </r>
    <r>
      <rPr>
        <vertAlign val="superscript"/>
        <sz val="10"/>
        <rFont val="Arial"/>
        <family val="2"/>
        <charset val="204"/>
      </rPr>
      <t>*</t>
    </r>
  </si>
  <si>
    <t>Розрахунковий прибуток, усього *, у т.ч.:</t>
  </si>
  <si>
    <t>7.1</t>
  </si>
  <si>
    <t>податок на прибуток</t>
  </si>
  <si>
    <t>Х</t>
  </si>
  <si>
    <t>7.2</t>
  </si>
  <si>
    <t>дивіденди</t>
  </si>
  <si>
    <t>7.3</t>
  </si>
  <si>
    <t>резервний фонд (капітал)</t>
  </si>
  <si>
    <t>7.4</t>
  </si>
  <si>
    <t>на розвиток виробництва (виробничі інвестиції)</t>
  </si>
  <si>
    <t>7.5</t>
  </si>
  <si>
    <t>інше використання  прибутку</t>
  </si>
  <si>
    <t>Вартість виробництва теплової енергії за відповідними тарифами</t>
  </si>
  <si>
    <t>Тарифи на виробництво теплової енергії</t>
  </si>
  <si>
    <t>грн/Гкал</t>
  </si>
  <si>
    <t>Реалізація теплової енергії власним споживачам</t>
  </si>
  <si>
    <t>Відпуск теплової енергії з колекторів власних котелень</t>
  </si>
  <si>
    <t>Витрати умовного палива на виробництво теплової енергії власними котельнями</t>
  </si>
  <si>
    <t>тонн</t>
  </si>
  <si>
    <t>Питомі витрати умовного палива на виробництво теплової енергії власними котельнями</t>
  </si>
  <si>
    <t>кг у.п. /Гкал</t>
  </si>
  <si>
    <t>Ціна умовного палива для власних котелень</t>
  </si>
  <si>
    <t>грн/тонн</t>
  </si>
  <si>
    <t>Витрати газу на виробництво теплової енергії власними котельнями</t>
  </si>
  <si>
    <r>
      <t>тис. м</t>
    </r>
    <r>
      <rPr>
        <vertAlign val="superscript"/>
        <sz val="10"/>
        <rFont val="Arial"/>
        <family val="2"/>
        <charset val="204"/>
      </rPr>
      <t>3</t>
    </r>
  </si>
  <si>
    <t>Витрати мазуту на виробництво теплової енергії власними котельнями</t>
  </si>
  <si>
    <t>Витрати вугілля на виробництво теплової енергії власними котельнями</t>
  </si>
  <si>
    <t>Витрати іншого палива на  виробництво теплової енергії власними котельнями</t>
  </si>
  <si>
    <t>одиниць</t>
  </si>
  <si>
    <t>Ціна натурального палива пункту 15</t>
  </si>
  <si>
    <r>
      <t>грн/тис.м</t>
    </r>
    <r>
      <rPr>
        <vertAlign val="superscript"/>
        <sz val="10"/>
        <rFont val="Arial"/>
        <family val="2"/>
        <charset val="204"/>
      </rPr>
      <t>3</t>
    </r>
  </si>
  <si>
    <t>Ціна натурального палива пункту 16</t>
  </si>
  <si>
    <t>грн/тонну</t>
  </si>
  <si>
    <t>Ціна натурального палива пункту 17</t>
  </si>
  <si>
    <t>Ціна натурального палива пункту 18</t>
  </si>
  <si>
    <t>грн/од.</t>
  </si>
  <si>
    <t>Калорійність натурального палива пункту 15</t>
  </si>
  <si>
    <r>
      <t>ккал/м</t>
    </r>
    <r>
      <rPr>
        <vertAlign val="superscript"/>
        <sz val="10"/>
        <rFont val="Arial"/>
        <family val="2"/>
        <charset val="204"/>
      </rPr>
      <t>3</t>
    </r>
  </si>
  <si>
    <t>Калорійність натурального палива пункту 16</t>
  </si>
  <si>
    <t>ккал/кг</t>
  </si>
  <si>
    <t>Калорійність натурального палива пункту 17</t>
  </si>
  <si>
    <t>Калорійність натурального палива пункту 18</t>
  </si>
  <si>
    <t>ккал/од.</t>
  </si>
  <si>
    <t>27</t>
  </si>
  <si>
    <t>Обсяг покупної теплової енергії</t>
  </si>
  <si>
    <t>Ціна покупної теплової енергії</t>
  </si>
  <si>
    <t>Відпуск теплової енергії з колекторів власних ТЕЦ, ТЕС, АЕС, когенераційних установок</t>
  </si>
  <si>
    <t>Собівартість у тарифах на теплову енергію власних ТЕЦ, ТЕС, АЕС, когенераційних установок</t>
  </si>
  <si>
    <t>Питомі витрати електроенергії на виробництво теплової енергії власними котельнями</t>
  </si>
  <si>
    <t>кВт∙год/ Гкал</t>
  </si>
  <si>
    <t>Середньозважений тариф активної електроенергії</t>
  </si>
  <si>
    <t>коп./ кВт∙год</t>
  </si>
  <si>
    <t>Сумарна встановлена потужність джерел теплової енергії</t>
  </si>
  <si>
    <r>
      <t xml:space="preserve">* </t>
    </r>
    <r>
      <rPr>
        <sz val="10"/>
        <rFont val="Arial"/>
        <family val="2"/>
        <charset val="204"/>
      </rPr>
      <t>Без урахування списання безнадійної дебіторської заборгованості та нарахування резерву сумнівних боргів.</t>
    </r>
  </si>
  <si>
    <t>Усього</t>
  </si>
  <si>
    <t>період, попередній до базового (факт)</t>
  </si>
  <si>
    <t>плановий  період</t>
  </si>
  <si>
    <t>Виробнича собівартість,  у тому числі:</t>
  </si>
  <si>
    <t>Прямі матеріальні витрати, у тому числі:</t>
  </si>
  <si>
    <t>транспортування  теплової енергії тепловими мережами інших підприємств</t>
  </si>
  <si>
    <t>вода для технологічних потреб  та водовідведення</t>
  </si>
  <si>
    <t>Прямі витрати на оплату праці</t>
  </si>
  <si>
    <t>Інші прямі витрати, у тому числі:</t>
  </si>
  <si>
    <t>Загальновиробничі витрати, у тому числі:</t>
  </si>
  <si>
    <t>Адміністративні витрати, у тому числі:</t>
  </si>
  <si>
    <t>Витрати на збут, у тому числі:</t>
  </si>
  <si>
    <t>інші витрати*</t>
  </si>
  <si>
    <t>Інші операційні витрати *</t>
  </si>
  <si>
    <r>
      <t xml:space="preserve">Повна собівартість </t>
    </r>
    <r>
      <rPr>
        <vertAlign val="superscript"/>
        <sz val="10"/>
        <rFont val="Arial"/>
        <family val="2"/>
        <charset val="204"/>
      </rPr>
      <t>*</t>
    </r>
  </si>
  <si>
    <t>Розрахунковий прибуток*, усього,  у тому числі:</t>
  </si>
  <si>
    <t>×</t>
  </si>
  <si>
    <t>Вартість транспортування  теплової енергії за відповідними тарифами</t>
  </si>
  <si>
    <t>Середньозважений тариф на транспортування теплової енергії</t>
  </si>
  <si>
    <t>Обсяг надходження теплової енергії до мережі ліцензіата, у т.ч.:</t>
  </si>
  <si>
    <t>10.1</t>
  </si>
  <si>
    <t>власної теплової енергії</t>
  </si>
  <si>
    <t>10.2</t>
  </si>
  <si>
    <t>теплоенергії інших власників для транспортування мережами ліцензіата</t>
  </si>
  <si>
    <t>Втрати теплової енергії в мережах ліцензіата, всього, у т.ч.:</t>
  </si>
  <si>
    <t>11.1</t>
  </si>
  <si>
    <t>11.2</t>
  </si>
  <si>
    <t>теплової енергії інших власників</t>
  </si>
  <si>
    <t>Корисний відпуск теплової енергії з мереж ліцензіата, усього, у т.ч.:</t>
  </si>
  <si>
    <t>12.1</t>
  </si>
  <si>
    <t>господарські потреби ліцензованої діяльності ліцензіата</t>
  </si>
  <si>
    <t>12.2</t>
  </si>
  <si>
    <t>корисний відпуск теплової енергії інших власників</t>
  </si>
  <si>
    <t>12.3</t>
  </si>
  <si>
    <t>Корисний відпуск теплової енергії власним споживачам , у т.ч. на потреби:</t>
  </si>
  <si>
    <t>12.3.1</t>
  </si>
  <si>
    <t>12.3.2</t>
  </si>
  <si>
    <t>12.3.3</t>
  </si>
  <si>
    <t>Обсяг транспортування теплової енергії ліцензіата мережами іншого(их) транспортувальника(ів)</t>
  </si>
  <si>
    <t>Тариф(и) іншого(их) транспортувальника(ів)на транспортування теплової енергії</t>
  </si>
  <si>
    <r>
      <t>*</t>
    </r>
    <r>
      <rPr>
        <sz val="10"/>
        <rFont val="Arial"/>
        <family val="2"/>
        <charset val="204"/>
      </rPr>
      <t xml:space="preserve"> Без урахування списання безнадійної дебіторської заборгованості та нарахування резерву сумнівних боргів.</t>
    </r>
  </si>
  <si>
    <t>Виробнича собівартість, у тому числі:</t>
  </si>
  <si>
    <t>прямі матеріальні витрати</t>
  </si>
  <si>
    <t>інші прямі витрати, у тому числі:</t>
  </si>
  <si>
    <t>Витрати  на збут, у тому числі:</t>
  </si>
  <si>
    <t>Інші  операційні витрати*</t>
  </si>
  <si>
    <t>Повна собівартість*</t>
  </si>
  <si>
    <t>Розрахунковий прибуток, усього, у тому числі:</t>
  </si>
  <si>
    <t>інше використання прибутку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</si>
  <si>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</si>
  <si>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</si>
  <si>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у тому числі на потреби:</t>
  </si>
  <si>
    <t>10.3</t>
  </si>
  <si>
    <t>інших  споживачів</t>
  </si>
  <si>
    <t>4.2</t>
  </si>
  <si>
    <t>Виробництво теплової енергії</t>
  </si>
  <si>
    <t>Теплове навантаження об’єктів теплоспоживання власних споживачів</t>
  </si>
  <si>
    <t>Транспортування теплової енергії</t>
  </si>
  <si>
    <t>Постачання теплової енергії</t>
  </si>
  <si>
    <t>інші споживачі</t>
  </si>
  <si>
    <t>без ПДВ</t>
  </si>
  <si>
    <t>Найменування показників</t>
  </si>
  <si>
    <t>Сумарні та середньо-зважені показники</t>
  </si>
  <si>
    <t>Для потреб споживачів</t>
  </si>
  <si>
    <t>бюджетні установи</t>
  </si>
  <si>
    <t>Обсяг реалізації теплової енергії власним споживачам</t>
  </si>
  <si>
    <t>Повна планова собівартість виробництва теплової енергії, усього, у т.ч.:</t>
  </si>
  <si>
    <t>умовно змінні витрати, усього, у т.ч.:</t>
  </si>
  <si>
    <t>3.1.1</t>
  </si>
  <si>
    <t>витрати на технологічне паливо для виробництва теплової енергії котельнями</t>
  </si>
  <si>
    <t>3.1.2</t>
  </si>
  <si>
    <t>витрати на технологічну електроенергію для виробництва теплової енергії котельнями</t>
  </si>
  <si>
    <t>3.1.3</t>
  </si>
  <si>
    <t>покупна теплова енергія  та  собівартість теплової енергії власних ТЕЦ, ТЕС, АЕС, когенераційних установок</t>
  </si>
  <si>
    <t>умовно постійні витрати, усього – решта витрат повної планової собівартості виробництва теплової енергії</t>
  </si>
  <si>
    <t>Плановий прибуток в тарифах на виробництво теплової енергії, усього, у т.ч.:</t>
  </si>
  <si>
    <t>в умовно-змінній частині</t>
  </si>
  <si>
    <t>в умовно-постійній частині</t>
  </si>
  <si>
    <t>умовно-змінна частина двоставкового тарифу на виробництво теплової енергії, у т.ч.:</t>
  </si>
  <si>
    <t>складова собівартості (пункт 3.1/ пункт 1)</t>
  </si>
  <si>
    <t>складова прибутку (пункт 4.1/ пункт 1)</t>
  </si>
  <si>
    <t>рівень рентабельності</t>
  </si>
  <si>
    <t>Умовно-постійна частина двоставкового тарифу на виробництво теплової енергії – місячна абонентська плата на одиницю теплового навантаження, у т.ч.:</t>
  </si>
  <si>
    <t>складова собівартості (пункт 3.2/ пункт 2/12)</t>
  </si>
  <si>
    <t>складова прибутку (пункт 4.2/ пункт 2/12)</t>
  </si>
  <si>
    <t>грн./Гкал/год</t>
  </si>
  <si>
    <t>Теплове навантаження об’єктів теплоспоживання власних споживачів та споживачів інших власників теплової енергії, яка транспортується мережами ліцензіата</t>
  </si>
  <si>
    <t>Повна планова собівартість транспортування теплової енергії, усього – умовно-постійні витрати</t>
  </si>
  <si>
    <t>Плановий прибуток в тарифах на транспортування теплової енергії</t>
  </si>
  <si>
    <t>Місячна абонентська плата за транспортування теплової енергії на одиницю теплового навантаження, у т.ч.:</t>
  </si>
  <si>
    <t>складова собівартості (пункт 8/ пункт 7/12)</t>
  </si>
  <si>
    <t>складова прибутку (пункт 9/ пункт 7/12)</t>
  </si>
  <si>
    <t>Повна планова собівартість постачання теплової енергії, усього – умовно-постійні витрати</t>
  </si>
  <si>
    <t>Плановий прибуток в тарифах на постачання теплової енергії</t>
  </si>
  <si>
    <t>Місячна абонентська плата за постачання теплової енергії на одиницю теплового навантаження, у т.ч.:</t>
  </si>
  <si>
    <t>13.1</t>
  </si>
  <si>
    <t>складова собівартості (пункт 11/ пункт 2/12)</t>
  </si>
  <si>
    <t>13.2</t>
  </si>
  <si>
    <t>складова прибутку (пункт 12/ пункт 2/12)</t>
  </si>
  <si>
    <t>13.3</t>
  </si>
  <si>
    <t>Двоставкові тарифи на теплову енергію для кінцевих споживачів</t>
  </si>
  <si>
    <t>Умовно-змінна частина двоставкового тарифу на теплову енергію (пункт 5), у т.ч.:</t>
  </si>
  <si>
    <t>14.1</t>
  </si>
  <si>
    <t>складова собівартості (пункт 5.1)</t>
  </si>
  <si>
    <t>14.2</t>
  </si>
  <si>
    <t>складова прибутку (пункт 5.2)</t>
  </si>
  <si>
    <t>14.3</t>
  </si>
  <si>
    <t>Умовно-постійна частина двоставкового тарифу на теплову енергію – місячна абонентська плата на одиницю теплового навантаження (пункт 6 + пункт 10 + пункт 13), у т.ч.:</t>
  </si>
  <si>
    <t>15.1</t>
  </si>
  <si>
    <t>складова собівартості (пункт 6.1 + пункт 10.1+ пункт 13.1)</t>
  </si>
  <si>
    <t>15.2</t>
  </si>
  <si>
    <t>складова прибутку (пункт 6.2 + пункт 10.2 + пункт 13.2)</t>
  </si>
  <si>
    <t>15.3</t>
  </si>
  <si>
    <t>Найменування</t>
  </si>
  <si>
    <t>Сума, грн</t>
  </si>
  <si>
    <t>Мінімальна заробітна плата</t>
  </si>
  <si>
    <t>Кілкість за штатним розписом</t>
  </si>
  <si>
    <t>АУП та ІТР</t>
  </si>
  <si>
    <t>Головний бухгалтер</t>
  </si>
  <si>
    <t>Заступник директора по виробництву</t>
  </si>
  <si>
    <t>Головний інженер</t>
  </si>
  <si>
    <t>Інженер</t>
  </si>
  <si>
    <t>ІТОГО</t>
  </si>
  <si>
    <t>Робітники</t>
  </si>
  <si>
    <t>Оператор котельної</t>
  </si>
  <si>
    <t>Водій</t>
  </si>
  <si>
    <t>Пічник</t>
  </si>
  <si>
    <t>в т.ч. сезонні</t>
  </si>
  <si>
    <t>розрахунку економічно обґрунтованих планованих витрат, пов’язаних з виробництвом теплової енергії, її транспортуванням та постачанням</t>
  </si>
  <si>
    <t>Двоставковий тариф</t>
  </si>
  <si>
    <t>В.М.Шпак</t>
  </si>
  <si>
    <t>протягом року</t>
  </si>
  <si>
    <t>в опалювальний сезон</t>
  </si>
  <si>
    <t>з ПДВ</t>
  </si>
  <si>
    <t>ТОВ "Лисичанська енергосервісна компанія"</t>
  </si>
  <si>
    <t>Т.в.о. директора</t>
  </si>
  <si>
    <t>Тариф на виробництво теплової енергії (в т.ч. на підігрів холодної води)</t>
  </si>
  <si>
    <t>Тариф на транспортування теплової енергії (в т.ч. на підігрів холодної води)</t>
  </si>
  <si>
    <t>Тариф на постачання теплової енергії (в т.ч. на підігрів холодної води)</t>
  </si>
  <si>
    <t>Виконавець: Калакун Тетяна</t>
  </si>
  <si>
    <t>тел. +380674903190</t>
  </si>
  <si>
    <t>Розрахунок заробітної плати операторам:</t>
  </si>
  <si>
    <t>22,41*24*182+22,41*0,2*4*182+22,41*0,35*8*182,     де</t>
  </si>
  <si>
    <t>182 - кількість днів опалювального сезону</t>
  </si>
  <si>
    <t>4 - вечірні години на добу</t>
  </si>
  <si>
    <t>8 - нічні години на добу</t>
  </si>
  <si>
    <t>Розрахунок фонду оплати праці на 2018 рік</t>
  </si>
  <si>
    <t>Загальна сума ФОП на рік</t>
  </si>
  <si>
    <t>Місячний ФОП, грн</t>
  </si>
  <si>
    <t>Місячний фонд основної заробітної плати, грн</t>
  </si>
  <si>
    <t>Місячний фонд додаткової заробітної плати, грн</t>
  </si>
  <si>
    <t>ФОП з 01.01.2018р по 31.12.2018р., грн</t>
  </si>
  <si>
    <t xml:space="preserve"> - плата за одиницю приєднаного теплового навантаження в місяць протягом року</t>
  </si>
  <si>
    <t>Помічник керівника-діловод</t>
  </si>
  <si>
    <t>Нарахування на ФОП 22%</t>
  </si>
  <si>
    <t>Кількість</t>
  </si>
  <si>
    <t>Од. вим.</t>
  </si>
  <si>
    <t>Ціна без ПДВ</t>
  </si>
  <si>
    <t>Сума без ПДВ</t>
  </si>
  <si>
    <t>шт</t>
  </si>
  <si>
    <t>Гумка</t>
  </si>
  <si>
    <t xml:space="preserve"> </t>
  </si>
  <si>
    <t>Разом</t>
  </si>
  <si>
    <t>Додаток 2.1.1</t>
  </si>
  <si>
    <t>Нарахування на ФОП (ЄСВ-22%)</t>
  </si>
  <si>
    <t>Кількість поїздок за місяць</t>
  </si>
  <si>
    <t>Сума (без ПДВ), грн</t>
  </si>
  <si>
    <t>РАЗОМ:</t>
  </si>
  <si>
    <t>міс</t>
  </si>
  <si>
    <t>Додаток 2.1.2</t>
  </si>
  <si>
    <t>хвил</t>
  </si>
  <si>
    <t>Міжнародні розмови ММТП (дог 5104567)</t>
  </si>
  <si>
    <t>Ціна, грн (без ПДВ)</t>
  </si>
  <si>
    <t>Міжміські розмови ММТП (дог 5104567)</t>
  </si>
  <si>
    <t>Звонки на мобільні оператори (дог 5104567)</t>
  </si>
  <si>
    <t>Сума, грн (без ПДВ)</t>
  </si>
  <si>
    <t>м куб</t>
  </si>
  <si>
    <t>Ціна, грн (без ПДВ) водопостачання</t>
  </si>
  <si>
    <t>Ціна, грн (без ПДВ) водовідведення</t>
  </si>
  <si>
    <t xml:space="preserve">Ціна, грн (без ПДВ) </t>
  </si>
  <si>
    <t>Манометр</t>
  </si>
  <si>
    <t>Термометр (ТТЖ)</t>
  </si>
  <si>
    <t>1. Модульна котельня Д/с «Червона шапочка» м. Лисичанськ, вул. Ломоносова, буд.9</t>
  </si>
  <si>
    <t>2. Модульна котельня Лікарняне містечко м. Лисичанськ, кв. 40 років Перемоги, буд.12а</t>
  </si>
  <si>
    <t>3. Модульна котельня Гімназія м. Лисичанськ, вул. Могилевського, буд.5</t>
  </si>
  <si>
    <t>4. Модульна котельня Терапевтичне відділення м. Лисичанськ, пр-т Перемоги, буд.134</t>
  </si>
  <si>
    <t>Адміністративні витрати</t>
  </si>
  <si>
    <t>Т.в.о. директора ТОВ "ЛЕСКО"</t>
  </si>
  <si>
    <t>В.М. Шпак</t>
  </si>
  <si>
    <t>Т.в.о. директора ТОВ "ЛЕСКО" _____________________ В.М.Шпак</t>
  </si>
  <si>
    <t>Періодичність заправки картриджу</t>
  </si>
  <si>
    <t>Персональний компьютер ACER (A191HQL)</t>
  </si>
  <si>
    <t>1 раз на рік</t>
  </si>
  <si>
    <t>кожні 2 міс</t>
  </si>
  <si>
    <t>Багатофункціональний прилад НР LazerJet P1005</t>
  </si>
  <si>
    <t>Багатофункціональний прилад XEROX Phaser 3100</t>
  </si>
  <si>
    <t>*</t>
  </si>
  <si>
    <t>Регенерація картриджу проводиться після п'яти заправок картриджу</t>
  </si>
  <si>
    <t>Додаток 2.1.8</t>
  </si>
  <si>
    <t>на період опалювального сезону</t>
  </si>
  <si>
    <t>6</t>
  </si>
  <si>
    <t>на неопалювальний період</t>
  </si>
  <si>
    <t>Пояснення до Додатку 2</t>
  </si>
  <si>
    <t>КАЛЬКУЛЯЦІЯ</t>
  </si>
  <si>
    <t>В розрахунку двоставкового тарифу на виробництво, транспортування та постачання теплової енергії для</t>
  </si>
  <si>
    <t>бюджетних споживачів поданого ТОВ "ЛЕСКО" 12.12.2018р</t>
  </si>
  <si>
    <r>
      <t xml:space="preserve">стаття витрат </t>
    </r>
    <r>
      <rPr>
        <b/>
        <sz val="10"/>
        <rFont val="Arial Cyr"/>
        <charset val="204"/>
      </rPr>
      <t xml:space="preserve"> Прямі матеріальні витрати, всього, у тому числі: "Витрати на холодну воду"</t>
    </r>
    <r>
      <rPr>
        <sz val="10"/>
        <rFont val="Arial Cyr"/>
        <charset val="204"/>
      </rPr>
      <t xml:space="preserve"> складається з заявлених розрахунково-планових обсягів споживання холодної води на 2018 рік, згідно параметрів систем отоплення об'єктів підприємства, відповідно до Договору від 01.09.2008р. №774 на послуги з водопостачання та водовідведення, з урахуванням фактичного споживання холодної води за 2017 рік за винятком витрат на централізоване водопостачання та водовідведення на власні потреби підприємства, які враховані в статті витрат 4. Загальновиробничі витрати, всього, у тому числі: 4.5. Витрати на централізоване водопостачання та водовідведення (Додаток 2.1.1 Розрахунок загальновиробничих витрат, пов'язаних з утриманням виробничих приміщень на 2018 рік по об'єктах) та розраховано:</t>
    </r>
  </si>
  <si>
    <r>
      <rPr>
        <sz val="10"/>
        <rFont val="Arial Cyr"/>
        <charset val="204"/>
      </rPr>
      <t>176 м куб * 21,41грн. - 2 221,62грн. = 3 768,16грн. - 2 221,62грн. =</t>
    </r>
    <r>
      <rPr>
        <b/>
        <sz val="10"/>
        <rFont val="Arial Cyr"/>
        <charset val="204"/>
      </rPr>
      <t xml:space="preserve"> 1 942,74 грн.</t>
    </r>
  </si>
  <si>
    <r>
      <t xml:space="preserve">стаття витрат </t>
    </r>
    <r>
      <rPr>
        <b/>
        <sz val="10"/>
        <rFont val="Arial Cyr"/>
        <charset val="204"/>
      </rPr>
      <t xml:space="preserve"> Прямі витрати на оплату праці, всього, у тому числі: "Основна заробітна плата виробничого персоналу"</t>
    </r>
    <r>
      <rPr>
        <sz val="10"/>
        <rFont val="Arial Cyr"/>
        <charset val="204"/>
      </rPr>
      <t xml:space="preserve"> включає в себе заробітну плату операторам котельної та розрахована: </t>
    </r>
  </si>
  <si>
    <r>
      <rPr>
        <sz val="10"/>
        <rFont val="Arial Cyr"/>
        <charset val="204"/>
      </rPr>
      <t>22,41*182*24+22,41*0,2*182*4+22,41*0,35*182*8 =</t>
    </r>
    <r>
      <rPr>
        <b/>
        <sz val="10"/>
        <rFont val="Arial Cyr"/>
        <charset val="204"/>
      </rPr>
      <t xml:space="preserve"> 112 569,91 грн.,</t>
    </r>
  </si>
  <si>
    <t>де  22,41грн/год - мінімальна почасова заробітна плата, 182 - кількість днів опалювального сезону, 4 - вечірні години на добу (20%), 8 - нічні години на добу (35%)</t>
  </si>
  <si>
    <r>
      <t xml:space="preserve">стаття витрат </t>
    </r>
    <r>
      <rPr>
        <b/>
        <sz val="10"/>
        <rFont val="Arial Cyr"/>
        <charset val="204"/>
      </rPr>
      <t xml:space="preserve"> Інші прямі витрати, всього, у тому числі: "Внески на загальнообов’язкове державне соціальне страхування працівників"</t>
    </r>
    <r>
      <rPr>
        <sz val="10"/>
        <rFont val="Arial Cyr"/>
        <charset val="204"/>
      </rPr>
      <t xml:space="preserve"> включає в себе 22% Єдиного соціального внеску від річної заробітної плати операторам котельної та розрахована:  </t>
    </r>
  </si>
  <si>
    <r>
      <rPr>
        <sz val="10"/>
        <rFont val="Arial Cyr"/>
        <charset val="204"/>
      </rPr>
      <t xml:space="preserve">112 569, 91*0,22 = </t>
    </r>
    <r>
      <rPr>
        <b/>
        <sz val="10"/>
        <rFont val="Arial Cyr"/>
        <charset val="204"/>
      </rPr>
      <t>24 765,38 грн.</t>
    </r>
  </si>
  <si>
    <r>
      <t xml:space="preserve">стаття витрат </t>
    </r>
    <r>
      <rPr>
        <b/>
        <sz val="10"/>
        <rFont val="Arial Cyr"/>
        <charset val="204"/>
      </rPr>
      <t xml:space="preserve"> Загальновиробничі витрати, всього, у тому числі: "Основна заробітна плата "</t>
    </r>
    <r>
      <rPr>
        <sz val="10"/>
        <rFont val="Arial Cyr"/>
        <charset val="204"/>
      </rPr>
      <t xml:space="preserve"> включає в себе річну заробітну плату заступника директора по виробництву, головного інженера, інженера та пічника та розрахована: </t>
    </r>
  </si>
  <si>
    <r>
      <t xml:space="preserve">2 336,93*12+7 135,99*12+6 515,00*12+1 861,50*6 = 28 043,16+85 631,88+78 180,00+11 169,00 = </t>
    </r>
    <r>
      <rPr>
        <b/>
        <sz val="10"/>
        <rFont val="Arial Cyr"/>
        <charset val="204"/>
      </rPr>
      <t>203 024,04 грн.</t>
    </r>
  </si>
  <si>
    <r>
      <t xml:space="preserve">стаття витрат </t>
    </r>
    <r>
      <rPr>
        <b/>
        <sz val="10"/>
        <rFont val="Arial Cyr"/>
        <charset val="204"/>
      </rPr>
      <t xml:space="preserve"> Загальновиробничі витрати, всього, у тому числі: "Внески на загальнообов’язкове державне соціальне страхування працівників"</t>
    </r>
    <r>
      <rPr>
        <sz val="10"/>
        <rFont val="Arial Cyr"/>
        <charset val="204"/>
      </rPr>
      <t xml:space="preserve"> включає в себе 22% Єдиного соціального внеску від річної заробітної плати заступника директора по виробництву, головного інженера, інженера та пічника та розрахована: </t>
    </r>
  </si>
  <si>
    <r>
      <t xml:space="preserve">203 024,04*0,22 = </t>
    </r>
    <r>
      <rPr>
        <b/>
        <sz val="10"/>
        <rFont val="Arial Cyr"/>
        <charset val="204"/>
      </rPr>
      <t>44 665,29 грн.</t>
    </r>
  </si>
  <si>
    <r>
      <t xml:space="preserve">стаття витрат </t>
    </r>
    <r>
      <rPr>
        <b/>
        <sz val="10"/>
        <rFont val="Arial Cyr"/>
        <charset val="204"/>
      </rPr>
      <t xml:space="preserve"> Адміністративні витрати, всього, у тому числі: "Основна заробітна плата "</t>
    </r>
    <r>
      <rPr>
        <sz val="10"/>
        <rFont val="Arial Cyr"/>
        <charset val="204"/>
      </rPr>
      <t xml:space="preserve"> включає в себе річну заробітну плату директора, головного бухгалтера та водія та розрахована: </t>
    </r>
  </si>
  <si>
    <r>
      <t xml:space="preserve">10 423,50*12+7 687,86*12+3 723,00*12 = 125 082,00+92 254,32+44 676,00 =  </t>
    </r>
    <r>
      <rPr>
        <b/>
        <sz val="10"/>
        <rFont val="Arial Cyr"/>
        <charset val="204"/>
      </rPr>
      <t>262 012,32 грн.</t>
    </r>
  </si>
  <si>
    <r>
      <t xml:space="preserve">стаття витрат </t>
    </r>
    <r>
      <rPr>
        <b/>
        <sz val="10"/>
        <rFont val="Arial Cyr"/>
        <charset val="204"/>
      </rPr>
      <t xml:space="preserve"> Адміністративні витрати, всього, у тому числі:</t>
    </r>
    <r>
      <rPr>
        <sz val="10"/>
        <rFont val="Arial Cyr"/>
        <charset val="204"/>
      </rPr>
      <t xml:space="preserve"> </t>
    </r>
    <r>
      <rPr>
        <b/>
        <sz val="10"/>
        <rFont val="Arial Cyr"/>
        <charset val="204"/>
      </rPr>
      <t>"Внески на загальнообов’язкове державне соціальне страхування працівників</t>
    </r>
    <r>
      <rPr>
        <sz val="10"/>
        <rFont val="Arial Cyr"/>
        <charset val="204"/>
      </rPr>
      <t xml:space="preserve">" включає в себе 22% Єдиного соціального внеску від річної заробітної плати директора, головного бухгалтера та водія та розрахована: </t>
    </r>
  </si>
  <si>
    <r>
      <t xml:space="preserve">262 012,32*0,22 = </t>
    </r>
    <r>
      <rPr>
        <b/>
        <sz val="10"/>
        <rFont val="Arial Cyr"/>
        <charset val="204"/>
      </rPr>
      <t>57 642,71 грн.</t>
    </r>
  </si>
  <si>
    <t>Кількість в міс.</t>
  </si>
  <si>
    <t>Сума, грн (без ПДВ) за місяць</t>
  </si>
  <si>
    <r>
      <t xml:space="preserve">стаття витрат </t>
    </r>
    <r>
      <rPr>
        <b/>
        <sz val="10"/>
        <rFont val="Arial Cyr"/>
        <charset val="204"/>
      </rPr>
      <t xml:space="preserve"> Прямі матеріальні витрати, всього, у тому числі: "Витрати на придбання електроенергії для технологічних потреб"</t>
    </r>
    <r>
      <rPr>
        <sz val="10"/>
        <rFont val="Arial Cyr"/>
        <charset val="204"/>
      </rPr>
      <t xml:space="preserve"> складається з  розрахунково-планових обсягів споживання   активної електроенергії на 2018 рік, згідно потужностей об'єктів підприємства, відповідно до Річного плану виробництва, транспортування та постачання теплової енергії на 12 місяців 2018 року (дод.1.1)  з урахуванням норми питомих витрат електроенергії на 2018 рік (дод.1.2.) та розраховано на 2018 рік: </t>
    </r>
  </si>
  <si>
    <t>Затверджую</t>
  </si>
  <si>
    <t>"______"______________________20___р.</t>
  </si>
  <si>
    <t>Ш Т А Т Н И Й  Р О З К Л А Д</t>
  </si>
  <si>
    <t xml:space="preserve">Кілкість, один. </t>
  </si>
  <si>
    <t>Оклад (тарифн.ст., грн./год.), грн.</t>
  </si>
  <si>
    <t>Надбавка, грн.</t>
  </si>
  <si>
    <t>Апарат керівництва</t>
  </si>
  <si>
    <t>ІТОГО:</t>
  </si>
  <si>
    <t>Лінейний персонал</t>
  </si>
  <si>
    <t>Робітники (опалювальний сезон)</t>
  </si>
  <si>
    <t>ВСЬОГО по підприємству:</t>
  </si>
  <si>
    <t xml:space="preserve">6 871,3 Гкал * 20,99 кВт*год/од.прдукції = 144,22 тис.кВт*год;  </t>
  </si>
  <si>
    <r>
      <t xml:space="preserve">стаття витрат  </t>
    </r>
    <r>
      <rPr>
        <b/>
        <sz val="10"/>
        <rFont val="Arial Cyr"/>
        <charset val="204"/>
      </rPr>
      <t xml:space="preserve">Адміністративні витрати, всього, у тому числі: Оренда </t>
    </r>
    <r>
      <rPr>
        <sz val="10"/>
        <rFont val="Arial Cyr"/>
        <charset val="204"/>
      </rPr>
      <t xml:space="preserve">включає в себе річні витрати на оренду приміщення за Договором №2 від 01.12.2014р.(з дод.угодами) та річні витрати на оренду автотранспорту за Договором №011118 від 01.11.2018р. та розрахована (Розрахунок 2.1., Розрахунок 2.1.8.): </t>
    </r>
  </si>
  <si>
    <r>
      <t>3 591,00грн.*6міс.+2 261,00грн *6міс +2 000,00грн.*12міс.=21 546,00грн.+13 566,00грн.+24 000,00грн.=</t>
    </r>
    <r>
      <rPr>
        <b/>
        <sz val="10"/>
        <rFont val="Arial Cyr"/>
        <charset val="204"/>
      </rPr>
      <t>59 112,00 грн.</t>
    </r>
  </si>
  <si>
    <r>
      <t xml:space="preserve">144,22 тис.кВт*го * 257,958 коп/кВт*год = </t>
    </r>
    <r>
      <rPr>
        <b/>
        <sz val="10"/>
        <rFont val="Arial Cyr"/>
        <charset val="204"/>
      </rPr>
      <t>372 027,03 грн.</t>
    </r>
  </si>
  <si>
    <t>у місячному розмірі:</t>
  </si>
  <si>
    <t>у погодинному розмірі:</t>
  </si>
  <si>
    <t>22,41*182*24+22,41*0,2*182*4+22,41*0,35*182*8,     де</t>
  </si>
  <si>
    <t>4 - вечірні години на добу (20%)</t>
  </si>
  <si>
    <t>8 - нічні години на добу (35%)</t>
  </si>
  <si>
    <t>Т.в.о. директора ТОВ "ЛЕСКО" ______________ В.М.Шпак</t>
  </si>
  <si>
    <t>Т.в.о. директора ТОВ "ЛЕСКО" ______________В.М.Шпак</t>
  </si>
  <si>
    <t>Посодова особа</t>
  </si>
  <si>
    <t>чол.</t>
  </si>
  <si>
    <t>Періодичність проходження</t>
  </si>
  <si>
    <t>1 раз в 3 роки</t>
  </si>
  <si>
    <t>Сума на рік, грн. (без ПДВ)</t>
  </si>
  <si>
    <t>Ціна, грн. (без ПДВ)</t>
  </si>
  <si>
    <t>Сума на рік, грн (без ПДВ)</t>
  </si>
  <si>
    <t>Лічильник газу "Курс-01" виробництва ТОВ "Виробничокомерційна фірма "КУРС"</t>
  </si>
  <si>
    <t>Типорозмір лічильника</t>
  </si>
  <si>
    <t>Ном. діаметр, DN, мм</t>
  </si>
  <si>
    <t>1 раз в 2 роки</t>
  </si>
  <si>
    <t>G25</t>
  </si>
  <si>
    <t>50</t>
  </si>
  <si>
    <t>G40</t>
  </si>
  <si>
    <t>G65</t>
  </si>
  <si>
    <t>100</t>
  </si>
  <si>
    <t>Обчислювач УНІВЕРСАЛ-02</t>
  </si>
  <si>
    <t>Перетворювач тиску</t>
  </si>
  <si>
    <t>Перетворювач температури</t>
  </si>
  <si>
    <t xml:space="preserve">Мановакуумметр робочий (Договір №404570 від 05.09.2018р.)  </t>
  </si>
  <si>
    <t>Модульна котельня Терапевтичне відділення м. Лисичанськ, пр-т Перемоги, буд.134</t>
  </si>
  <si>
    <t>Модульна котельня Д/с «Червона шапочка» м. Лисичанськ, вул. Ломоносова, буд.9</t>
  </si>
  <si>
    <t>Модульна котельня Департамент патрульної поліції м. Лисичанськ, вул. Штейгерська, 8</t>
  </si>
  <si>
    <t>Модульна котельня Гімназія м. Лисичанськ, вул. Могилевського, буд.5</t>
  </si>
  <si>
    <t>Модульна котельня Лікарняне містечко м. Лисичанськ, кв. 40 років Перемоги, буд.12а</t>
  </si>
  <si>
    <t xml:space="preserve">Кількість місяців роботи </t>
  </si>
  <si>
    <t>ЛКСП «Лисичанськводоканал» м. Лисичанськ, вул. ім. В. Сосюри, 168</t>
  </si>
  <si>
    <t>ТОВ ЛЕО, Лисичанська філія м. Лисичанськ, вул. ім. О.Довженка, 11</t>
  </si>
  <si>
    <t>ПАО "Луганскгаз" Лисичанское МРУЭГХ м. Лисичанськ, вул. Газовіков, 22</t>
  </si>
  <si>
    <t>П Л А Н - Г Р А Ф І К</t>
  </si>
  <si>
    <t>Найменування маршруту</t>
  </si>
  <si>
    <t>Загальний пробіг за маршрутом, км</t>
  </si>
  <si>
    <t>Загальний пробіг за місяць, км</t>
  </si>
  <si>
    <t>Загальний пробіг за рік, км</t>
  </si>
  <si>
    <r>
      <t xml:space="preserve">Подання звітності за маршрутом: ТОВ "ЛЕСКО" м.Лисичанськ, вул. ім. В.Сосюри, 349 -  </t>
    </r>
    <r>
      <rPr>
        <b/>
        <sz val="10"/>
        <rFont val="Arial Cyr"/>
        <charset val="204"/>
      </rPr>
      <t>ТОВ ЛЕО, Лисичанська філія м. Лисичанськ, вул. ім. О.Довженка, 11</t>
    </r>
    <r>
      <rPr>
        <sz val="10"/>
        <rFont val="Arial Cyr"/>
        <charset val="204"/>
      </rPr>
      <t xml:space="preserve"> - ТОВ "ЛЕСКО" м.Лисичанськ, вул. ім. В.Сосюри, 349</t>
    </r>
  </si>
  <si>
    <r>
      <t xml:space="preserve">Подання звітності за маршрутом: ТОВ "ЛЕСКО" м.Лисичанськ, вул. ім. В.Сосюри, 349 -  </t>
    </r>
    <r>
      <rPr>
        <b/>
        <sz val="10"/>
        <rFont val="Arial Cyr"/>
        <charset val="204"/>
      </rPr>
      <t>ЛКСП «Лисичанськводоканал» м. Лисичанськ, вул. ім. В. Сосюри, 168</t>
    </r>
    <r>
      <rPr>
        <sz val="10"/>
        <rFont val="Arial Cyr"/>
        <charset val="204"/>
      </rPr>
      <t xml:space="preserve"> - ТОВ "ЛЕСКО" м.Лисичанськ, вул. ім. В.Сосюри, 349</t>
    </r>
  </si>
  <si>
    <r>
      <t xml:space="preserve">Подання звітності за маршрутом: ТОВ "ЛЕСКО" м.Лисичанськ, вул. ім. В.Сосюри, 349 -  </t>
    </r>
    <r>
      <rPr>
        <b/>
        <sz val="10"/>
        <rFont val="Arial Cyr"/>
        <charset val="204"/>
      </rPr>
      <t xml:space="preserve">ПАО "Луганскгаз" Лисичанское МРУЭГХ м. Лисичанськ, вул. Газовіков, 22 </t>
    </r>
    <r>
      <rPr>
        <sz val="10"/>
        <rFont val="Arial Cyr"/>
        <charset val="204"/>
      </rPr>
      <t>- ТОВ "ЛЕСКО" м.Лисичанськ, вул. ім. В.Сосюри, 349</t>
    </r>
  </si>
  <si>
    <r>
      <t xml:space="preserve">Вирішення технологічних, виробничих та адміністративних питань по Луганській області за маршрутом: ТОВ "ЛЕСКО" м.Лисичанськ, вул. ім. В.Сосюри, 349 -  </t>
    </r>
    <r>
      <rPr>
        <b/>
        <sz val="10"/>
        <rFont val="Arial Cyr"/>
        <charset val="204"/>
      </rPr>
      <t>м.Сєвєродонецьк Луганської області</t>
    </r>
    <r>
      <rPr>
        <sz val="10"/>
        <rFont val="Arial Cyr"/>
        <charset val="204"/>
      </rPr>
      <t xml:space="preserve"> - ТОВ "ЛЕСКО" м.Лисичанськ, вул. ім. В.Сосюри, 349</t>
    </r>
  </si>
  <si>
    <r>
      <t xml:space="preserve">Вирішення технологічних, виробничих та адміністративних питань по Луганській області за маршрутом: ТОВ "ЛЕСКО" м.Лисичанськ, вул. ім. В.Сосюри, 349 -  </t>
    </r>
    <r>
      <rPr>
        <b/>
        <sz val="10"/>
        <rFont val="Arial Cyr"/>
        <charset val="204"/>
      </rPr>
      <t>м.Старобельск Луганської області</t>
    </r>
    <r>
      <rPr>
        <sz val="10"/>
        <rFont val="Arial Cyr"/>
        <charset val="204"/>
      </rPr>
      <t xml:space="preserve"> - ТОВ "ЛЕСКО" м.Лисичанськ, вул. ім. В.Сосюри, 349</t>
    </r>
  </si>
  <si>
    <r>
      <t xml:space="preserve">Виїзд на виробничі об'єкти в робочі дні опалювалювального періоду (6 місяців) для контролю та зняття показників приладів обліку за маршрутом: </t>
    </r>
    <r>
      <rPr>
        <b/>
        <sz val="10"/>
        <rFont val="Arial Cyr"/>
        <charset val="204"/>
      </rPr>
      <t>ТОВ "ЛЕСКО" м.Лисичанськ, вул. ім. В.Сосюри, 349</t>
    </r>
    <r>
      <rPr>
        <sz val="10"/>
        <rFont val="Arial Cyr"/>
        <charset val="204"/>
      </rPr>
      <t xml:space="preserve"> - Модульна котельня Терапевтичне відділення м. Лисичанськ, пр-т Перемоги, буд.134 - </t>
    </r>
    <r>
      <rPr>
        <b/>
        <sz val="10"/>
        <rFont val="Arial Cyr"/>
        <charset val="204"/>
      </rPr>
      <t>Модульна котельня Д/с «Червона шапочка» м. Лисичанськ, вул. Ломоносова, буд.9</t>
    </r>
    <r>
      <rPr>
        <sz val="10"/>
        <rFont val="Arial Cyr"/>
        <charset val="204"/>
      </rPr>
      <t xml:space="preserve"> - Модульна котельня Департамент патрульної поліції м. Лисичанськ, вул. Штейгерська, 8 - </t>
    </r>
    <r>
      <rPr>
        <b/>
        <sz val="10"/>
        <rFont val="Arial Cyr"/>
        <charset val="204"/>
      </rPr>
      <t>Модульна котельня Гімназія м. Лисичанськ, вул. Могилевського, буд.5</t>
    </r>
    <r>
      <rPr>
        <sz val="10"/>
        <rFont val="Arial Cyr"/>
        <charset val="204"/>
      </rPr>
      <t xml:space="preserve"> - Модульна котельня Лікарняне містечко м. Лисичанськ, кв. 40 років Перемоги, буд.12а - </t>
    </r>
    <r>
      <rPr>
        <b/>
        <sz val="10"/>
        <rFont val="Arial Cyr"/>
        <charset val="204"/>
      </rPr>
      <t>ТОВ "ЛЕСКО" м.Лисичанськ, вул. ім. В.Сосюри, 349</t>
    </r>
  </si>
  <si>
    <r>
      <t xml:space="preserve">Виїзд на виробничі об'єкти в вихідні дні опалювалювального періоду (6 місяців) для контролю та зняття показників приладів обліку за маршрутом: </t>
    </r>
    <r>
      <rPr>
        <b/>
        <sz val="10"/>
        <rFont val="Arial Cyr"/>
        <charset val="204"/>
      </rPr>
      <t>ТОВ "ЛЕСКО" м.Лисичанськ, вул. ім. В.Сосюри, 349</t>
    </r>
    <r>
      <rPr>
        <sz val="10"/>
        <rFont val="Arial Cyr"/>
        <charset val="204"/>
      </rPr>
      <t xml:space="preserve"> - Модульна котельня Терапевтичне відділення м. Лисичанськ, пр-т Перемоги, буд.134 - </t>
    </r>
    <r>
      <rPr>
        <b/>
        <sz val="10"/>
        <rFont val="Arial Cyr"/>
        <charset val="204"/>
      </rPr>
      <t>Модульна котельня Д/с «Червона шапочка» м. Лисичанськ, вул. Ломоносова, буд.9</t>
    </r>
    <r>
      <rPr>
        <sz val="10"/>
        <rFont val="Arial Cyr"/>
        <charset val="204"/>
      </rPr>
      <t xml:space="preserve"> - Модульна котельня Департамент патрульної поліції м. Лисичанськ, вул. Штейгерська, 8 - </t>
    </r>
    <r>
      <rPr>
        <b/>
        <sz val="10"/>
        <rFont val="Arial Cyr"/>
        <charset val="204"/>
      </rPr>
      <t>Модульна котельня Гімназія м. Лисичанськ, вул. Могилевського, буд.5</t>
    </r>
    <r>
      <rPr>
        <sz val="10"/>
        <rFont val="Arial Cyr"/>
        <charset val="204"/>
      </rPr>
      <t xml:space="preserve"> - Модульна котельня Лікарняне містечко м. Лисичанськ, кв. 40 років Перемоги, буд.12а - </t>
    </r>
    <r>
      <rPr>
        <b/>
        <sz val="10"/>
        <rFont val="Arial Cyr"/>
        <charset val="204"/>
      </rPr>
      <t>ТОВ "ЛЕСКО" м.Лисичанськ, вул. ім. В.Сосюри, 349</t>
    </r>
  </si>
  <si>
    <r>
      <t xml:space="preserve">Виїзд на виробничі об'єкти в робочі дні неопалювалювального періоду (6 місяців) для вирішення технологічних питань та проведення ремонтних робіт за маршрутом: ТОВ "ЛЕСКО" м.Лисичанськ, вул. ім. В.Сосюри, 349 - </t>
    </r>
    <r>
      <rPr>
        <b/>
        <sz val="10"/>
        <rFont val="Arial Cyr"/>
        <charset val="204"/>
      </rPr>
      <t>Модульна котельня Терапевтичне відділення м. Лисичанськ, пр-т Перемоги, буд.134</t>
    </r>
    <r>
      <rPr>
        <sz val="10"/>
        <rFont val="Arial Cyr"/>
        <charset val="204"/>
      </rPr>
      <t xml:space="preserve"> - Модульна котельня Д/с «Червона шапочка» м. Лисичанськ, вул. Ломоносова, буд.9 - </t>
    </r>
    <r>
      <rPr>
        <b/>
        <sz val="10"/>
        <rFont val="Arial Cyr"/>
        <charset val="204"/>
      </rPr>
      <t>Модульна котельня Департамент патрульної поліції м. Лисичанськ, вул. Штейгерська, 8</t>
    </r>
    <r>
      <rPr>
        <sz val="10"/>
        <rFont val="Arial Cyr"/>
        <charset val="204"/>
      </rPr>
      <t xml:space="preserve"> - Модульна котельня Гімназія м. Лисичанськ, вул. Могилевського, буд.5 - </t>
    </r>
    <r>
      <rPr>
        <b/>
        <sz val="10"/>
        <rFont val="Arial Cyr"/>
        <charset val="204"/>
      </rPr>
      <t xml:space="preserve">Модульна котельня Лікарняне містечко м. Лисичанськ, кв. 40 років Перемоги, буд.12а </t>
    </r>
    <r>
      <rPr>
        <sz val="10"/>
        <rFont val="Arial Cyr"/>
        <charset val="204"/>
      </rPr>
      <t>- ТОВ "ЛЕСКО" м.Лисичанськ, вул. ім. В.Сосюри, 349</t>
    </r>
  </si>
  <si>
    <r>
      <t xml:space="preserve">1. ТОВ "ЛЕСКО" м.Лисичанськ, вул. ім. В.Сосюри, 349 -  </t>
    </r>
    <r>
      <rPr>
        <b/>
        <sz val="10"/>
        <rFont val="Arial Cyr"/>
        <charset val="204"/>
      </rPr>
      <t xml:space="preserve">Модульна котельня Терапевтичне відділення м. Лисичанськ, пр-т Перемоги, буд.134 </t>
    </r>
    <r>
      <rPr>
        <sz val="10"/>
        <rFont val="Arial Cyr"/>
        <charset val="204"/>
      </rPr>
      <t>- ТОВ "ЛЕСКО" м.Лисичанськ, вул. ім. В.Сосюри, 349</t>
    </r>
  </si>
  <si>
    <r>
      <rPr>
        <b/>
        <sz val="10"/>
        <rFont val="Arial Cyr"/>
        <charset val="204"/>
      </rPr>
      <t>4.</t>
    </r>
    <r>
      <rPr>
        <sz val="10"/>
        <rFont val="Arial Cyr"/>
        <charset val="204"/>
      </rPr>
      <t xml:space="preserve"> ТОВ "ЛЕСКО" м.Лисичанськ, вул. ім. В.Сосюри, 349 -  </t>
    </r>
    <r>
      <rPr>
        <b/>
        <sz val="10"/>
        <rFont val="Arial Cyr"/>
        <charset val="204"/>
      </rPr>
      <t>Модульна котельня Гімназія м. Лисичанськ, вул. Могилевського, буд.5</t>
    </r>
    <r>
      <rPr>
        <sz val="10"/>
        <rFont val="Arial Cyr"/>
        <charset val="204"/>
      </rPr>
      <t xml:space="preserve"> - ТОВ "ЛЕСКО" м.Лисичанськ, вул. ім. В.Сосюри, 349</t>
    </r>
  </si>
  <si>
    <r>
      <rPr>
        <b/>
        <sz val="10"/>
        <rFont val="Arial Cyr"/>
        <charset val="204"/>
      </rPr>
      <t xml:space="preserve">2. </t>
    </r>
    <r>
      <rPr>
        <sz val="10"/>
        <rFont val="Arial Cyr"/>
        <charset val="204"/>
      </rPr>
      <t xml:space="preserve">ТОВ "ЛЕСКО" м.Лисичанськ, вул. ім. В.Сосюри, 349 -   </t>
    </r>
    <r>
      <rPr>
        <b/>
        <sz val="10"/>
        <rFont val="Arial Cyr"/>
        <charset val="204"/>
      </rPr>
      <t>Модульна котельня Д/с «Червона шапочка» м. Лисичанськ, вул. Ломоносова, буд.9</t>
    </r>
    <r>
      <rPr>
        <sz val="10"/>
        <rFont val="Arial Cyr"/>
        <charset val="204"/>
      </rPr>
      <t xml:space="preserve">  - ТОВ "ЛЕСКО" м.Лисичанськ, вул. ім. В.Сосюри, 349</t>
    </r>
  </si>
  <si>
    <r>
      <rPr>
        <b/>
        <sz val="10"/>
        <rFont val="Arial Cyr"/>
        <charset val="204"/>
      </rPr>
      <t>3.</t>
    </r>
    <r>
      <rPr>
        <sz val="10"/>
        <rFont val="Arial Cyr"/>
        <charset val="204"/>
      </rPr>
      <t xml:space="preserve"> ТОВ "ЛЕСКО" м.Лисичанськ, вул. ім. В.Сосюри, 349 -  </t>
    </r>
    <r>
      <rPr>
        <b/>
        <sz val="10"/>
        <rFont val="Arial Cyr"/>
        <charset val="204"/>
      </rPr>
      <t>Модульна котельня Департамент патрульної поліції м. Лисичанськ, вул. Штейгерська, 8</t>
    </r>
    <r>
      <rPr>
        <sz val="10"/>
        <rFont val="Arial Cyr"/>
        <charset val="204"/>
      </rPr>
      <t xml:space="preserve"> - ТОВ "ЛЕСКО" м.Лисичанськ, вул. ім. В.Сосюри, 349</t>
    </r>
  </si>
  <si>
    <r>
      <rPr>
        <b/>
        <sz val="10"/>
        <rFont val="Arial Cyr"/>
        <charset val="204"/>
      </rPr>
      <t>5.</t>
    </r>
    <r>
      <rPr>
        <sz val="10"/>
        <rFont val="Arial Cyr"/>
        <charset val="204"/>
      </rPr>
      <t xml:space="preserve"> ТОВ "ЛЕСКО" м.Лисичанськ, вул. ім. В.Сосюри, 349 -  </t>
    </r>
    <r>
      <rPr>
        <b/>
        <sz val="10"/>
        <rFont val="Arial Cyr"/>
        <charset val="204"/>
      </rPr>
      <t>Модульна котельня Лікарняне містечко м. Лисичанськ, кв. 40 років Перемоги, буд.12а</t>
    </r>
    <r>
      <rPr>
        <sz val="10"/>
        <rFont val="Arial Cyr"/>
        <charset val="204"/>
      </rPr>
      <t xml:space="preserve"> - ТОВ "ЛЕСКО" м.Лисичанськ, вул. ім. В.Сосюри, 349</t>
    </r>
  </si>
  <si>
    <r>
      <t xml:space="preserve">Виїзд для технічного обслуговування виробничих об'єктів, налаштування автоматики безпеки  та еклектроніки в опалювалювальний період (6 місяців) за маршрутом: </t>
    </r>
    <r>
      <rPr>
        <b/>
        <sz val="10"/>
        <rFont val="Arial Cyr"/>
        <charset val="204"/>
      </rPr>
      <t>ТОВ "ЛЕСКО" м.Лисичанськ, вул. ім. В.Сосюри, 349</t>
    </r>
    <r>
      <rPr>
        <sz val="10"/>
        <rFont val="Arial Cyr"/>
        <charset val="204"/>
      </rPr>
      <t xml:space="preserve"> - Модульна котельня Терапевтичне відділення м. Лисичанськ, пр-т Перемоги, буд.134 - </t>
    </r>
    <r>
      <rPr>
        <b/>
        <sz val="10"/>
        <rFont val="Arial Cyr"/>
        <charset val="204"/>
      </rPr>
      <t>Модульна котельня Д/с «Червона шапочка» м. Лисичанськ, вул. Ломоносова, буд.9</t>
    </r>
    <r>
      <rPr>
        <sz val="10"/>
        <rFont val="Arial Cyr"/>
        <charset val="204"/>
      </rPr>
      <t xml:space="preserve"> - Модульна котельня Департамент патрульної поліції м. Лисичанськ, вул. Штейгерська, 8 - </t>
    </r>
    <r>
      <rPr>
        <b/>
        <sz val="10"/>
        <rFont val="Arial Cyr"/>
        <charset val="204"/>
      </rPr>
      <t>Модульна котельня Гімназія м. Лисичанськ, вул. Могилевського, буд.5</t>
    </r>
    <r>
      <rPr>
        <sz val="10"/>
        <rFont val="Arial Cyr"/>
        <charset val="204"/>
      </rPr>
      <t xml:space="preserve"> - Модульна котельня Лікарняне містечко м. Лисичанськ, кв. 40 років Перемоги, буд.12а - </t>
    </r>
    <r>
      <rPr>
        <b/>
        <sz val="10"/>
        <rFont val="Arial Cyr"/>
        <charset val="204"/>
      </rPr>
      <t>ТОВ "ЛЕСКО" м.Лисичанськ, вул. ім. В.Сосюри, 349</t>
    </r>
  </si>
  <si>
    <t>Аварійний виїзд на виробничі об'єкти в опалювальний період (6 місяців) за маршрутами:                                                                                                                                      5 об * 2 рази в місяць = 10 разів в місяць</t>
  </si>
  <si>
    <t xml:space="preserve"> - плата за спожиту теплову енергію в місяць протягом опалювального сезону</t>
  </si>
  <si>
    <t>Двоставковий тариф на теплову енергію (в т.ч. на підігрів холодної води) для споживачів</t>
  </si>
  <si>
    <t>Заступник директора з фінансово-економічних питань</t>
  </si>
  <si>
    <t>min</t>
  </si>
  <si>
    <t>max</t>
  </si>
  <si>
    <t>7 143 - 12 857</t>
  </si>
  <si>
    <t>25 510 - 45 918</t>
  </si>
  <si>
    <t>2 розряд (1,08)</t>
  </si>
  <si>
    <t>3 розряд (1,20)</t>
  </si>
  <si>
    <t>4 розряд (1,35)</t>
  </si>
  <si>
    <t>5 розряд (1,54)</t>
  </si>
  <si>
    <t>6 розряд (1,80)</t>
  </si>
  <si>
    <t>Директор (2,8-10,0)</t>
  </si>
  <si>
    <t>Інженер (професіонал 1,8-2,2)</t>
  </si>
  <si>
    <t>Водій (л/а до 1,8л 1,39-1,79)</t>
  </si>
  <si>
    <t>Секретар                                                Діловод (технічні службовці 1,2-1,7)</t>
  </si>
  <si>
    <t>грн/год</t>
  </si>
  <si>
    <t xml:space="preserve"> ОПЕРАТОРИ КОТЕЛЬНІ (1,66)          </t>
  </si>
  <si>
    <t>роботи середньої складності тиждень 40 год (сер 166,08 год)</t>
  </si>
  <si>
    <t>ПРОЕКТ</t>
  </si>
  <si>
    <t xml:space="preserve">Головний інженер </t>
  </si>
  <si>
    <t>Оклад, грн.</t>
  </si>
  <si>
    <t>Заступник директора з фінансово-економічного та кадрового забезпечення</t>
  </si>
  <si>
    <t>Код КП</t>
  </si>
  <si>
    <t>1223.1</t>
  </si>
  <si>
    <t>1210.1</t>
  </si>
  <si>
    <t>2149.2</t>
  </si>
  <si>
    <t>Оператор котельні І розряд</t>
  </si>
  <si>
    <t>Суборенда приміщення Лисич ЖЕУ №1</t>
  </si>
  <si>
    <t>не вкл в тариф</t>
  </si>
  <si>
    <t>Ш Т А Т Н И Й  Р О З П И С</t>
  </si>
  <si>
    <t>Бухгалтер</t>
  </si>
  <si>
    <t>Файл д/док А4+, 40 мкм, (100 шт/уп)</t>
  </si>
  <si>
    <t>уп</t>
  </si>
  <si>
    <t>Папір офісний А4, 80г/м2, (500арк/уп)</t>
  </si>
  <si>
    <t>Папка-реєстратор А4, 50мм</t>
  </si>
  <si>
    <t>Папка-реєстратор А4, 75мм</t>
  </si>
  <si>
    <t>Швидкозшивач картонний А4</t>
  </si>
  <si>
    <t>Біндер 19мм (12шт/уп)</t>
  </si>
  <si>
    <t>Біндер 25мм (12шт/уп)</t>
  </si>
  <si>
    <t>Біндер 32мм (12шт/уп)</t>
  </si>
  <si>
    <t>Біндер 41мм (12шт/уп)</t>
  </si>
  <si>
    <t>Біндер 51мм (12шт/уп)</t>
  </si>
  <si>
    <t>Блокнот А5 (48 арк)</t>
  </si>
  <si>
    <t xml:space="preserve">Діркопробивач 25 арк. </t>
  </si>
  <si>
    <t>Зшивач (степлер) №10 середній</t>
  </si>
  <si>
    <t>Калькулятор CITIZEN SDC-444S</t>
  </si>
  <si>
    <t>Клей-олівець 25гр.</t>
  </si>
  <si>
    <t>Клей ПВА 100гр.</t>
  </si>
  <si>
    <t>Конверт поштовий С4(229*324) смкл.</t>
  </si>
  <si>
    <t>Конверт поштовий С5(160*220) смкл.</t>
  </si>
  <si>
    <t>Лінійка пластикова 30 см</t>
  </si>
  <si>
    <t>Лінійка металева 50 см</t>
  </si>
  <si>
    <t>Маркер текстовий</t>
  </si>
  <si>
    <t>Ніж канцелярський середній</t>
  </si>
  <si>
    <t>Ножиці офісні 21,5см</t>
  </si>
  <si>
    <t>Папір для нотаток 9*9*9см (1000арк/уп)</t>
  </si>
  <si>
    <t>Папка-конверт А4 на кнопці</t>
  </si>
  <si>
    <t>Папка-куточок А4 прозорий</t>
  </si>
  <si>
    <t>Папка для паперів на зав'язках А4 картонна</t>
  </si>
  <si>
    <t>Ручка кулькова (синя, чорна)</t>
  </si>
  <si>
    <t>Скоби для зшивача №10</t>
  </si>
  <si>
    <t>Скоби для зшивача №24/6</t>
  </si>
  <si>
    <t>Стрічка клеюча прозора 18мм*30м</t>
  </si>
  <si>
    <t>Стрічка клеюча пакувальна прозора 48мм*100м</t>
  </si>
  <si>
    <t>Скріпка 50мм (100шт/уп)</t>
  </si>
  <si>
    <t>Ручка масляна (синя, чорна)</t>
  </si>
  <si>
    <t xml:space="preserve">Миючий засіб для скла Мускул 0,5л </t>
  </si>
  <si>
    <t>Мило рідке 500мл (дозатор)</t>
  </si>
  <si>
    <t>Годинник настінний</t>
  </si>
  <si>
    <t>Мишка для ПК</t>
  </si>
  <si>
    <t>Водна питна</t>
  </si>
  <si>
    <t>Ємність для води з помпою 20л</t>
  </si>
  <si>
    <t>л</t>
  </si>
  <si>
    <t>Стартер</t>
  </si>
  <si>
    <t>РАЗОМ витрат</t>
  </si>
  <si>
    <t>Календар квартальний настінний</t>
  </si>
  <si>
    <t>Лампа люмінісцентна Philips TL-D 18 В (600мм)</t>
  </si>
  <si>
    <t xml:space="preserve">Тарифний план </t>
  </si>
  <si>
    <t>Кільсть місяців користування на рік</t>
  </si>
  <si>
    <t>Сума без ПДВ на місяць, грн</t>
  </si>
  <si>
    <t>Сума без ПДВ на рік, грн</t>
  </si>
  <si>
    <t>№ телефона</t>
  </si>
  <si>
    <t>+380645170856</t>
  </si>
  <si>
    <t>-"-</t>
  </si>
  <si>
    <t>+380506750173</t>
  </si>
  <si>
    <t>SIM-карта Vodafone, передплата, (Модульна котельня №2, пр-т Перемоги, м.Лисичанськ, Луганська обл.)</t>
  </si>
  <si>
    <t>SIM-карта Vodafone, передплата, (Модульна котельня №3, вул.Могилевська, буд.5-а, м.Лисичанськ, Луганська обл.)</t>
  </si>
  <si>
    <t>послуга</t>
  </si>
  <si>
    <t>RED Extra XS</t>
  </si>
  <si>
    <t>+380506750165</t>
  </si>
  <si>
    <t>+380506750157</t>
  </si>
  <si>
    <t>+38099364303</t>
  </si>
  <si>
    <t>SIM-карта Vodafone, передплата, (Модульна котельня №4, кв.40 років Перемоги, буд.12-б, м.Лисичанськ, Луганська обл.)</t>
  </si>
  <si>
    <t>SIM-карта Vodafone, передплата, (офіс ТОВ "ЛЕСКО", вул.ім.В.Сосюри, буд.349, кімн.107, м.Лисичанськ, Луганська обл.)</t>
  </si>
  <si>
    <t>SIM-карта Vodafone, передплата, (керівник ТОВ "ЛЕСКО")</t>
  </si>
  <si>
    <t>+380994199351</t>
  </si>
  <si>
    <t>SIM-карта Kyivstar, передплата, (керівник ТОВ "ЛЕСКО")</t>
  </si>
  <si>
    <t>+380672623431</t>
  </si>
  <si>
    <t>SIM-карта Vodafone, передплата, (головний інженер ТОВ "ЛЕСКО")</t>
  </si>
  <si>
    <t>SIM-карта Kyivstar, передплата, (головний інженер ТОВ "ЛЕСКО")</t>
  </si>
  <si>
    <t>SIM-карта Vodafone, передплата, (офіс ТОВ "ЛЕСКО")</t>
  </si>
  <si>
    <t>+380977087500</t>
  </si>
  <si>
    <t>+380994782600</t>
  </si>
  <si>
    <t>+380956127950</t>
  </si>
  <si>
    <t>Телекомунікаційні послуги</t>
  </si>
  <si>
    <t>Базовий</t>
  </si>
  <si>
    <t>Безлімітний 10 Мбіт/с</t>
  </si>
  <si>
    <t>RED XS+</t>
  </si>
  <si>
    <t>SuperNetPro</t>
  </si>
  <si>
    <t>RED M</t>
  </si>
  <si>
    <t>Т.в.о. директора ТОВ "ЛЕСКО"  _____________ В.М.Шпак</t>
  </si>
  <si>
    <t>Корзина для сміття</t>
  </si>
  <si>
    <t>Конверт поштовий DL евро Е65(110*220) смкл.</t>
  </si>
  <si>
    <t>Коректор з  пензликом "25 секунд"</t>
  </si>
  <si>
    <t>Коректор-стрічка</t>
  </si>
  <si>
    <t>Ножиці офісні 255 мм</t>
  </si>
  <si>
    <t xml:space="preserve">Олівець з гумкою </t>
  </si>
  <si>
    <t>Папка пласт.на гумках А4</t>
  </si>
  <si>
    <t>Швидкозшивач пласт.щільн</t>
  </si>
  <si>
    <t>Швидкозшивач пласт.прозор.</t>
  </si>
  <si>
    <t>Підставка канц.</t>
  </si>
  <si>
    <t>Кліпборд А4</t>
  </si>
  <si>
    <t>Серветки для моніторів (100шт/уп)</t>
  </si>
  <si>
    <t>Скріпка 28мм (100шт/уп)</t>
  </si>
  <si>
    <t>Стрижень кульковий (синій, чорний)</t>
  </si>
  <si>
    <t>Фарба штемпельна 30ml</t>
  </si>
  <si>
    <t>Серветки віскозні 32*38 (5шт/уп)</t>
  </si>
  <si>
    <t>Ганчірка для підлоги 50*60</t>
  </si>
  <si>
    <t>Губки для посуду (1шт/уп)</t>
  </si>
  <si>
    <t>Чистячий засіб 500г</t>
  </si>
  <si>
    <t xml:space="preserve">Миючий засіб 0,5л </t>
  </si>
  <si>
    <t>Пакети для сміття 35*30л (20шт/уп)</t>
  </si>
  <si>
    <t>Папір туалетний</t>
  </si>
  <si>
    <t>Рукавички госп. (1 пара)</t>
  </si>
  <si>
    <t>Рушники паперові (2шт/уп)</t>
  </si>
  <si>
    <t>Серветки паперові (300шт/уп)</t>
  </si>
  <si>
    <t>Дзеркало 1200*500мм з кріпленням</t>
  </si>
  <si>
    <t>на використання малоцінних і швидкозношуваних предметів, придбання канцелярських товарів</t>
  </si>
  <si>
    <t>РОЗРАХУНОК</t>
  </si>
  <si>
    <t>АДМІНІСТРАТИВНИХ ВИТРАТ</t>
  </si>
  <si>
    <t>т/о ПК укласти договір</t>
  </si>
  <si>
    <t>на ремонт та обслуговування основних засобів, інших необоротних матеріальних і нематеріальних активів загальногосподарського використання</t>
  </si>
  <si>
    <t xml:space="preserve">Періодичність регенерації картриджу* </t>
  </si>
  <si>
    <t>Заправка картриджу багатофункціонального приладу НР LazerJet P1005</t>
  </si>
  <si>
    <t>Регенерація картриджу багатофункціонального приладу НР LazerJet P1005</t>
  </si>
  <si>
    <t>Заправка картриджу багатофункціонального приладу XEROX Phaser 3100</t>
  </si>
  <si>
    <t>Тариф (з ПДВ), грн</t>
  </si>
  <si>
    <t>на оплату послуг зв’язку (поштовий зв’язок, телекомунікаційні послуги)</t>
  </si>
  <si>
    <t xml:space="preserve">Найменування, група послуг </t>
  </si>
  <si>
    <t>Знаки поштової оплати</t>
  </si>
  <si>
    <t>договір</t>
  </si>
  <si>
    <t>Послуги з організації перевезення відправлень вагою до 1 кг</t>
  </si>
  <si>
    <t>Послуги з організації перевезення відправлень вагою до 100 кг</t>
  </si>
  <si>
    <t>Абонентна плата за телефон, МТЗ</t>
  </si>
  <si>
    <t>Офісний день</t>
  </si>
  <si>
    <t>доба</t>
  </si>
  <si>
    <t>Некомутований доступ до мережі Інтернет, ADSL</t>
  </si>
  <si>
    <t>Абонентна плата за послугу, Доступ до мережі Інтернет</t>
  </si>
  <si>
    <t>на оплату розрахунково-касового обслуговування та інших послуг банків</t>
  </si>
  <si>
    <t>Сума, грн (без ПДВ) за рік</t>
  </si>
  <si>
    <t>АТ КБ "ПриватБанк"</t>
  </si>
  <si>
    <t>Канцелярські товари, усього, у т.ч.</t>
  </si>
  <si>
    <t>Господарчі товари, усього, у т.ч.</t>
  </si>
  <si>
    <t>Товари для офісу, усього, у т.ч.</t>
  </si>
  <si>
    <t>Поштовий зв’язок, усього, у т.ч.</t>
  </si>
  <si>
    <t>Телекомунікаційні послуги, усього, у т.ч.</t>
  </si>
  <si>
    <t>2.1.</t>
  </si>
  <si>
    <t>2.</t>
  </si>
  <si>
    <t>АТ "АЛЬФА-БАНК", усього, в т.ч.</t>
  </si>
  <si>
    <t>Щомісячна комісія за обслуговування рахуну юридичних осіб</t>
  </si>
  <si>
    <t>2.2.</t>
  </si>
  <si>
    <t>Платежі по Україні в операційний час по системі Клієнт-Банк (без ПДВ)</t>
  </si>
  <si>
    <t>1.</t>
  </si>
  <si>
    <t>1.1.</t>
  </si>
  <si>
    <t>Комісія за проведення безготівкового платежу у національній валюті з використанням систем віддаленого доступу на рахунки в інших банках (фін.установах) протягом операційного дня</t>
  </si>
  <si>
    <t>Комісія за проведення розрахунків по рахунках клієнта у національній валюті з використанням систем віддаленого доступу, незалежно від кількості відкритих рахунків</t>
  </si>
  <si>
    <t>Інші послуги (оформлення довідок, термінові плати в післяопераційний час, перевірка наданих клієнтом нових документів з подальшим внесенням змін до юридичної справи та інші)</t>
  </si>
  <si>
    <t>1.2.</t>
  </si>
  <si>
    <t>1.3.</t>
  </si>
  <si>
    <t>1.4.</t>
  </si>
  <si>
    <t>Розрахунок загальновиробничих витрат, пов'язаних з утриманням виробничих приміщень на 2020-2021 рік по об'єктах:</t>
  </si>
  <si>
    <t>Оцінка обсягів водокористування (дог 211)</t>
  </si>
  <si>
    <t>Очікувані витрати з централізованого водопостачання, водовідведення (дог 774-1)</t>
  </si>
  <si>
    <t>Розрахунок загальновиробничих витрат на технічне обслуговування та повірку приладів обліку на 2019-2020 рік</t>
  </si>
  <si>
    <t>грем пис</t>
  </si>
  <si>
    <t>стандар метрология</t>
  </si>
  <si>
    <t xml:space="preserve">донсбас теплопроект </t>
  </si>
  <si>
    <t>?</t>
  </si>
  <si>
    <t>1 раз в год</t>
  </si>
  <si>
    <t>1 раз в 2 года</t>
  </si>
  <si>
    <t>1 раз на год</t>
  </si>
  <si>
    <t xml:space="preserve">1 раз на два роки </t>
  </si>
  <si>
    <t>G100</t>
  </si>
  <si>
    <t xml:space="preserve">Лічильник електричної енергії  електронні багатофункціональні, трифазні кл.т.0,2…0,1. </t>
  </si>
  <si>
    <t>Повна назва лічильника</t>
  </si>
  <si>
    <t>"Енергія -9" тип СТКЗ</t>
  </si>
  <si>
    <t>Електронний лічільник електроенергії ЕМS 134.10.1  ЗАО  " ELGAMA-ELEKTRONIKA"</t>
  </si>
  <si>
    <t>1 раз в 6 роки</t>
  </si>
  <si>
    <t>Усього по підприємству:</t>
  </si>
  <si>
    <r>
      <t xml:space="preserve"> на </t>
    </r>
    <r>
      <rPr>
        <b/>
        <sz val="14"/>
        <color rgb="FFFF0000"/>
        <rFont val="Times New Roman"/>
        <family val="1"/>
        <charset val="204"/>
      </rPr>
      <t>2020-2021рр.</t>
    </r>
  </si>
  <si>
    <r>
      <t xml:space="preserve">на </t>
    </r>
    <r>
      <rPr>
        <b/>
        <sz val="14"/>
        <color rgb="FFFF0000"/>
        <rFont val="Times New Roman"/>
        <family val="1"/>
        <charset val="204"/>
      </rPr>
      <t>2020-2021рр.</t>
    </r>
  </si>
  <si>
    <t>Витрати пального, л (за нормою 9л на 100 км)</t>
  </si>
  <si>
    <t>роботи водія службового легкового автомобіля РЕНО  ЛЕГКОВИЙ (СЄДАН)</t>
  </si>
  <si>
    <t>Оренда приміщення за адресою: 93113, Луганська обл., м. Лисичанськ, вул. Свердлова (ім.В.Сосюри), 349 (Договір №2 від 29 грудня 2019р.)</t>
  </si>
  <si>
    <t xml:space="preserve">Розрахунок адміністративних витрат на оренду на 2020рік  </t>
  </si>
  <si>
    <t>Розрахунок витрат на навчання по питанням охорони праці та техніки безпеки на 2020 рік</t>
  </si>
  <si>
    <t>Заложили не всю сумму разбили на три года!!!!!</t>
  </si>
  <si>
    <t>Розрахунок фонду оплати праці на 2020-2021 рік</t>
  </si>
  <si>
    <t>Мінімальна заробітна плата на 2020 рік:</t>
  </si>
  <si>
    <t>Юрист-консульт</t>
  </si>
  <si>
    <t xml:space="preserve">Секретар </t>
  </si>
  <si>
    <t xml:space="preserve">Економіст </t>
  </si>
  <si>
    <t>в.т.ч. сезонні</t>
  </si>
  <si>
    <t>ФОП з 01.01.2020р по 31.12.2021р., грн</t>
  </si>
  <si>
    <t>1 розряд (1,0) 2197*160%*1,66</t>
  </si>
  <si>
    <t>штат у кількості 13 (тринадцять) працівників</t>
  </si>
  <si>
    <t>т/о теплосеть =3540,8*12/1,2</t>
  </si>
  <si>
    <t>Гкал ДБГ+Приют+Скора+потери из расчета питомих норм</t>
  </si>
  <si>
    <t>Середня ціна ПММ А-92 (без ПДВ), грн</t>
  </si>
  <si>
    <t>Витрати пального, л (за норимою 9л на 100 км)</t>
  </si>
  <si>
    <t>ВСЬОГО по підприємству в неопалювальний період:</t>
  </si>
  <si>
    <t>ВСЬОГО по підприємству в опалювальний період:</t>
  </si>
  <si>
    <t>Річний ФОП, грн</t>
  </si>
  <si>
    <t>Сума, грн (місяць)</t>
  </si>
  <si>
    <t>вихідні та святкові на 2021р</t>
  </si>
  <si>
    <t>Юрисконсульт</t>
  </si>
  <si>
    <t>+</t>
  </si>
  <si>
    <t>Розрахунок відшкодування витрат на загальновиробничі відрядження</t>
  </si>
  <si>
    <t>і</t>
  </si>
  <si>
    <t>№з/п</t>
  </si>
  <si>
    <t>Місто до якого прямує співробітник</t>
  </si>
  <si>
    <t>Підприємство</t>
  </si>
  <si>
    <t xml:space="preserve">К-сть відряджень на місяць </t>
  </si>
  <si>
    <t xml:space="preserve">К-сть відряджень на рік </t>
  </si>
  <si>
    <t>Загальна сума</t>
  </si>
  <si>
    <t>"Сенсум", НАК" НАФТОГАЗ" , вистава "Aqvatherm 2021"</t>
  </si>
  <si>
    <t xml:space="preserve">24 дні </t>
  </si>
  <si>
    <t>1 раз на місяць * 12 місяців * 2дні</t>
  </si>
  <si>
    <t>Господарський суд, компанія "Vissman"</t>
  </si>
  <si>
    <t>5 раз на рік*2 дні</t>
  </si>
  <si>
    <t>10 днів</t>
  </si>
  <si>
    <t>Київ (Авто)</t>
  </si>
  <si>
    <t>Харків (Авто)</t>
  </si>
  <si>
    <t>Львів (Потяг)</t>
  </si>
  <si>
    <t>ТОВ " Євроазійський  енергетичний союз"</t>
  </si>
  <si>
    <t>3 рази на рік * 2 дні</t>
  </si>
  <si>
    <t>6 днів</t>
  </si>
  <si>
    <t>Витрати на відшкодування добових</t>
  </si>
  <si>
    <t xml:space="preserve">Витрати на відшкодування білетів на потяг </t>
  </si>
  <si>
    <t xml:space="preserve">Загальна сума </t>
  </si>
  <si>
    <t>3 рази</t>
  </si>
  <si>
    <t>РАЗОМ ПО ПІДПРИЄМСТВУ:</t>
  </si>
  <si>
    <t xml:space="preserve">Додаток </t>
  </si>
  <si>
    <t>если по 40</t>
  </si>
  <si>
    <t>Розрахунок загальновиробничих витрат на технічне обслуговування та повірку приладів обліку на 2020-2021 рік</t>
  </si>
  <si>
    <t>ТОВ "ЛЕСКО" на місяць за 2020-2021 рік</t>
  </si>
  <si>
    <t>Сумарні та середньозважені показники, у т.ч. для потреб:</t>
  </si>
  <si>
    <t>Інше технологічне паливо, у т.ч. для потреб:</t>
  </si>
  <si>
    <t>Вугілля, у т.ч. для потреб:</t>
  </si>
  <si>
    <t>Мазут, у т.ч. для потреб:</t>
  </si>
  <si>
    <t>ЦЕНА</t>
  </si>
  <si>
    <t>розп</t>
  </si>
  <si>
    <t>транс</t>
  </si>
  <si>
    <t>газ</t>
  </si>
  <si>
    <t>Газ, у т.ч. для потреб:</t>
  </si>
  <si>
    <t>Вартість палива, тис. грн</t>
  </si>
  <si>
    <r>
      <t>Ціна натурального палива, грн/тис. м</t>
    </r>
    <r>
      <rPr>
        <vertAlign val="superscript"/>
        <sz val="10"/>
        <rFont val="Arial"/>
        <family val="2"/>
        <charset val="204"/>
      </rPr>
      <t xml:space="preserve">3 </t>
    </r>
    <r>
      <rPr>
        <sz val="10"/>
        <rFont val="Arial"/>
        <family val="2"/>
        <charset val="204"/>
      </rPr>
      <t>, грн/тонну</t>
    </r>
  </si>
  <si>
    <r>
      <t>Витрати натурального палива, тис.м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, тонн</t>
    </r>
  </si>
  <si>
    <r>
      <t>Калорійність натурального палива, ккал/м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, ккал/кг</t>
    </r>
  </si>
  <si>
    <t>Витрати умовного палива, тонн</t>
  </si>
  <si>
    <t>Норма питомих витрат умовного палива, кг у.п./Гкал</t>
  </si>
  <si>
    <t>Відпуск теплової енергії з колекторів, Гкал</t>
  </si>
  <si>
    <t>Вид палива</t>
  </si>
  <si>
    <t>вартості технологічного палива на виробництво теплової енергії котельнями на 2018 рік</t>
  </si>
  <si>
    <t>розпод</t>
  </si>
  <si>
    <t>трансп</t>
  </si>
  <si>
    <t>вартості технологічного палива на виробництво теплової енергії котельнями на 2020-2021рік</t>
  </si>
  <si>
    <t>Вартість активної та реактивної електроенергії</t>
  </si>
  <si>
    <t>тис.грн</t>
  </si>
  <si>
    <t>Вартість реактивної електроенергії</t>
  </si>
  <si>
    <t>коп./кВАр∙год</t>
  </si>
  <si>
    <t>Тариф без ПДВ</t>
  </si>
  <si>
    <t>тис. кВАр∙год</t>
  </si>
  <si>
    <t>Споживання реактивної електроенергії</t>
  </si>
  <si>
    <t>Вартість активної електроенергії, усього</t>
  </si>
  <si>
    <t>Вартість електроенергії (І клас напруги)</t>
  </si>
  <si>
    <t>коп./кВт∙год</t>
  </si>
  <si>
    <t>Тариф без ПДВ (І клас напруги)</t>
  </si>
  <si>
    <t>тис. кВт∙год</t>
  </si>
  <si>
    <t>Споживання електроенергії (I клас напруги)</t>
  </si>
  <si>
    <t>Вартість електроенергії (II клас напруги)</t>
  </si>
  <si>
    <t>Тариф  без ПДВ (II клас напруги)</t>
  </si>
  <si>
    <t>Споживання електроенергії (II клас напруги)</t>
  </si>
  <si>
    <t>Обсяг споживання активної електроенергії, усього</t>
  </si>
  <si>
    <t>кВт∙год/Гкал</t>
  </si>
  <si>
    <r>
      <rPr>
        <b/>
        <sz val="10"/>
        <rFont val="Arial"/>
        <family val="2"/>
        <charset val="204"/>
      </rPr>
      <t>Норма</t>
    </r>
    <r>
      <rPr>
        <sz val="10"/>
        <rFont val="Arial"/>
        <family val="2"/>
        <charset val="204"/>
      </rPr>
      <t xml:space="preserve"> питомих витрат електроенергії на виробництво теплової енергії</t>
    </r>
  </si>
  <si>
    <t xml:space="preserve">отпуск с потерями </t>
  </si>
  <si>
    <t>Відпуск теплової енергії з колекторів</t>
  </si>
  <si>
    <t>Плановий рік</t>
  </si>
  <si>
    <t>Найменування показника</t>
  </si>
  <si>
    <t>технологічних витрат  електроенергії на виробництво теплової енергії котельнями на 2020-2021 рік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</si>
  <si>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Додаток 8</t>
  </si>
  <si>
    <t>у нее 20,99 у нас 19,7</t>
  </si>
  <si>
    <t xml:space="preserve">сумму на цену </t>
  </si>
  <si>
    <t>ЦГМ+поверка</t>
  </si>
  <si>
    <t>5000,00грн.</t>
  </si>
  <si>
    <t>29,20грн.</t>
  </si>
  <si>
    <t>з місячним ФОП  107151грн 24 коп</t>
  </si>
  <si>
    <t>Проект двоставкового тарифу ТОВ "Лисичанська енергосервісна компанія" на теплову енергію (в т.ч. на підігрів холодної води) для бюджетних споживачів 2020-2021рр</t>
  </si>
  <si>
    <t>умовно-змінної та умовно-постійної частини витрат суб'осподарювання у сфері теплопостачання на виробництво, транспортування та постачання теплової енергії,послуги з постачання теплової енергії на 2020-2021р.р.</t>
  </si>
  <si>
    <t>ТОВ "ЛЕСКО""</t>
  </si>
  <si>
    <t>(сто сім тисяч сто п'ятдесят одна грн. 24 коп)</t>
  </si>
  <si>
    <r>
      <t>Повна собівартість</t>
    </r>
    <r>
      <rPr>
        <b/>
        <vertAlign val="superscript"/>
        <sz val="10"/>
        <rFont val="Arial"/>
        <family val="2"/>
        <charset val="204"/>
      </rPr>
      <t>*</t>
    </r>
  </si>
  <si>
    <t xml:space="preserve">Структура планового тарифу на виробництво теплової енергії для бюжетних установ по ТОВ "Лисичанська енергосервісна компанія" на 2020-2021р.р. </t>
  </si>
  <si>
    <t>Структура планового тариіу на транспортування  теплової енергії по ТОВ "Лисичанська енергосервісна компанія" на 202-2021 р.р</t>
  </si>
  <si>
    <t xml:space="preserve">Структура планового тарифу на постачання теплової енергії по ТОВ "Лисичанська енергосервісна компанія"       на 2020-2021 р.р. </t>
  </si>
  <si>
    <t>Структура планового тарифу  на теплову енергію</t>
  </si>
  <si>
    <t>Адміністративні питання по м. Лисичанську, Луганській та Донецькій областях (подання звітності, заключення договорів, інші питання)                   та по м. Харків, Київ та Краматорськ протягом року (12 місяців)</t>
  </si>
  <si>
    <t>Комісія за проведення розрахунків по рахунках клієнта у національній валюті з використанням систем віддаленого доступу, незалежно від кількості відкритих рахунків; Перерахування на особисту картку співробітників по зарплатному проекту, 0,25% від суми зарахування  (67058,02грн.-19,5%)*0,25%</t>
  </si>
  <si>
    <t>+380669605378</t>
  </si>
  <si>
    <t>Розрахунок витрат на придбання ПММ для загальновиробничих витрат  та  потреб апарату управління на 2020 - 2021рік</t>
  </si>
  <si>
    <t>Для загальновиробничиз витрат</t>
  </si>
  <si>
    <t>Для адміністративних потреб</t>
  </si>
  <si>
    <t>Виїзд на виробничі об'єкти в робочі дні опалювалювального періоду (6 місяців) для контролю, функціювання обладнання  та зняття показників приладів обліку</t>
  </si>
  <si>
    <t>Виїзд на виробничі об'єкти в вихідні дні опалювалювального періоду (6 місяців) для контролю,функціювання обладнання та зняття показників приладів обліку</t>
  </si>
  <si>
    <r>
      <t xml:space="preserve">Виїзд на виробничі об'єкти в робочі дні опалювалювального періоду (6 місяців) для контролю,функціювання обладнання та зняття показників приладів обліку за маршрутом: </t>
    </r>
    <r>
      <rPr>
        <b/>
        <sz val="10"/>
        <rFont val="Arial Cyr"/>
        <charset val="204"/>
      </rPr>
      <t>ТОВ "ЛЕСКО" м.Лисичанськ, вул. ім. В.Сосюри, 349</t>
    </r>
    <r>
      <rPr>
        <sz val="10"/>
        <rFont val="Arial Cyr"/>
        <charset val="204"/>
      </rPr>
      <t xml:space="preserve"> - Модульна котельня Терапевтичне відділення м. Лисичанськ, пр-т Перемоги, буд.134 - </t>
    </r>
    <r>
      <rPr>
        <b/>
        <sz val="10"/>
        <rFont val="Arial Cyr"/>
        <charset val="204"/>
      </rPr>
      <t>Модульна котельня Д/с «Червона шапочка» м. Лисичанськ, вул. Ломоносова, буд.9</t>
    </r>
    <r>
      <rPr>
        <sz val="10"/>
        <rFont val="Arial Cyr"/>
        <charset val="204"/>
      </rPr>
      <t xml:space="preserve"> - Модульна котельня Департамент патрульної поліції м. Лисичанськ, вул. Штейгерська, 8 - </t>
    </r>
    <r>
      <rPr>
        <b/>
        <sz val="10"/>
        <rFont val="Arial Cyr"/>
        <charset val="204"/>
      </rPr>
      <t>Модульна котельня Гімназія м. Лисичанськ, вул. Могилевського, буд.5</t>
    </r>
    <r>
      <rPr>
        <sz val="10"/>
        <rFont val="Arial Cyr"/>
        <charset val="204"/>
      </rPr>
      <t xml:space="preserve"> - Модульна котельня Лікарняне містечко м. Лисичанськ, кв. 40 років Перемоги, буд.12а - </t>
    </r>
    <r>
      <rPr>
        <b/>
        <sz val="10"/>
        <rFont val="Arial Cyr"/>
        <charset val="204"/>
      </rPr>
      <t>ТОВ "ЛЕСКО" м.Лисичанськ, вул. ім. В.Сосюри, 349</t>
    </r>
  </si>
  <si>
    <r>
      <t xml:space="preserve">Виїзд на виробничі об'єкти в вихідні дні опалювалювального періоду (6 місяців) для контролю,функціювання обладнання та зняття показників приладів обліку за маршрутом: </t>
    </r>
    <r>
      <rPr>
        <b/>
        <sz val="10"/>
        <rFont val="Arial Cyr"/>
        <charset val="204"/>
      </rPr>
      <t>ТОВ "ЛЕСКО" м.Лисичанськ, вул. ім. В.Сосюри, 349</t>
    </r>
    <r>
      <rPr>
        <sz val="10"/>
        <rFont val="Arial Cyr"/>
        <charset val="204"/>
      </rPr>
      <t xml:space="preserve"> - Модульна котельня Терапевтичне відділення м. Лисичанськ, пр-т Перемоги, буд.134 - </t>
    </r>
    <r>
      <rPr>
        <b/>
        <sz val="10"/>
        <rFont val="Arial Cyr"/>
        <charset val="204"/>
      </rPr>
      <t>Модульна котельня Д/с «Червона шапочка» м. Лисичанськ, вул. Ломоносова, буд.9</t>
    </r>
    <r>
      <rPr>
        <sz val="10"/>
        <rFont val="Arial Cyr"/>
        <charset val="204"/>
      </rPr>
      <t xml:space="preserve"> - Модульна котельня Департамент патрульної поліції м. Лисичанськ, вул. Штейгерська, 8 - </t>
    </r>
    <r>
      <rPr>
        <b/>
        <sz val="10"/>
        <rFont val="Arial Cyr"/>
        <charset val="204"/>
      </rPr>
      <t>Модульна котельня Гімназія м. Лисичанськ, вул. Могилевського, буд.5</t>
    </r>
    <r>
      <rPr>
        <sz val="10"/>
        <rFont val="Arial Cyr"/>
        <charset val="204"/>
      </rPr>
      <t xml:space="preserve"> - Модульна котельня Лікарняне містечко м. Лисичанськ, кв. 40 років Перемоги, буд.12а - </t>
    </r>
    <r>
      <rPr>
        <b/>
        <sz val="10"/>
        <rFont val="Arial Cyr"/>
        <charset val="204"/>
      </rPr>
      <t>ТОВ "ЛЕСКО" м.Лисичанськ, вул. ім. В.Сосюри, 349</t>
    </r>
  </si>
  <si>
    <t>Виїзд для обслуговування виробничих об'єктів, налаштування автоматики безпеки  та еклектроніки в опалювалювальний період (6 місяців)</t>
  </si>
  <si>
    <r>
      <t xml:space="preserve">Виїзд для обслуговування виробничих об'єктів, налаштування автоматики безпеки  та еклектроніки в опалювалювальний період (6 місяців) за маршрутом: </t>
    </r>
    <r>
      <rPr>
        <b/>
        <sz val="10"/>
        <rFont val="Arial Cyr"/>
        <charset val="204"/>
      </rPr>
      <t>ТОВ "ЛЕСКО" м.Лисичанськ, вул. ім. В.Сосюри, 349</t>
    </r>
    <r>
      <rPr>
        <sz val="10"/>
        <rFont val="Arial Cyr"/>
        <charset val="204"/>
      </rPr>
      <t xml:space="preserve"> - Модульна котельня Терапевтичне відділення м. Лисичанськ, пр-т Перемоги, буд.134 - </t>
    </r>
    <r>
      <rPr>
        <b/>
        <sz val="10"/>
        <rFont val="Arial Cyr"/>
        <charset val="204"/>
      </rPr>
      <t>Модульна котельня Д/с «Червона шапочка» м. Лисичанськ, вул. Ломоносова, буд.9</t>
    </r>
    <r>
      <rPr>
        <sz val="10"/>
        <rFont val="Arial Cyr"/>
        <charset val="204"/>
      </rPr>
      <t xml:space="preserve"> - Модульна котельня Департамент патрульної поліції м. Лисичанськ, вул. Штейгерська, 8 - </t>
    </r>
    <r>
      <rPr>
        <b/>
        <sz val="10"/>
        <rFont val="Arial Cyr"/>
        <charset val="204"/>
      </rPr>
      <t>Модульна котельня Гімназія м. Лисичанськ, вул. Могилевського, буд.5</t>
    </r>
    <r>
      <rPr>
        <sz val="10"/>
        <rFont val="Arial Cyr"/>
        <charset val="204"/>
      </rPr>
      <t xml:space="preserve"> - Модульна котельня Лікарняне містечко м. Лисичанськ, кв. 40 років Перемоги, буд.12а - </t>
    </r>
    <r>
      <rPr>
        <b/>
        <sz val="10"/>
        <rFont val="Arial Cyr"/>
        <charset val="204"/>
      </rPr>
      <t>ТОВ "ЛЕСКО" м.Лисичанськ, вул. ім. В.Сосюри, 349</t>
    </r>
  </si>
  <si>
    <t>Позаплановий, аварійний виїзди на виробничі об'єкти в опалювальний період (6 місяців);                                                                       5 об * 2 рази в місяць = 10 разів в місяць</t>
  </si>
  <si>
    <t>Виїзд на виробничі об'єкти в робочі дні неопалювалювального періоду (6 місяців) для вирішення технологічних, організаційних питань та проведення ремонтних робіт</t>
  </si>
  <si>
    <t>Позаплановий, аварійний виїзд на виробничі об'єкти в опалювальний період (6 місяців) за маршрутами:                                                                                                                                      5 об * 2 рази в місяць = 10 разів в місяць</t>
  </si>
  <si>
    <t xml:space="preserve"> адміністративні питання по м. Лисичанську, Луганській та Донецькій областях ( звітность, заключення договорів, інші питання)                   та по м. Харків, Київ та Краматорськ протягом року (12 місяців)</t>
  </si>
  <si>
    <t>Технологічні, виробничі та адміністративні питання по м. Лисичанську, Луганській та Донецькій областях ( звітность, заключення договорів, інші питання)                   та по м. Харків, Київ та Краматорськ протягом року (12 місяців)</t>
  </si>
</sst>
</file>

<file path=xl/styles.xml><?xml version="1.0" encoding="utf-8"?>
<styleSheet xmlns="http://schemas.openxmlformats.org/spreadsheetml/2006/main">
  <numFmts count="11">
    <numFmt numFmtId="164" formatCode="_-* #,##0_₴_-;\-* #,##0_₴_-;_-* &quot;-&quot;_₴_-;_-@_-"/>
    <numFmt numFmtId="165" formatCode="_-* #,##0.00_₴_-;\-* #,##0.00_₴_-;_-* &quot;-&quot;??_₴_-;_-@_-"/>
    <numFmt numFmtId="166" formatCode="#,##0.00_₴"/>
    <numFmt numFmtId="167" formatCode="#,##0.00\ _₽"/>
    <numFmt numFmtId="168" formatCode="0.0"/>
    <numFmt numFmtId="169" formatCode="#,##0.0_ ;\-#,##0.0\ "/>
    <numFmt numFmtId="170" formatCode="_-* #,##0.0_₴_-;\-* #,##0.0_₴_-;_-* &quot;-&quot;?_₴_-;_-@_-"/>
    <numFmt numFmtId="171" formatCode="_-* #,##0.0\ _₽_-;\-* #,##0.0\ _₽_-;_-* &quot;-&quot;?\ _₽_-;_-@_-"/>
    <numFmt numFmtId="172" formatCode="#,##0_₴"/>
    <numFmt numFmtId="173" formatCode="#,##0.0000_₴"/>
    <numFmt numFmtId="174" formatCode="#,##0.0_₴"/>
  </numFmts>
  <fonts count="53">
    <font>
      <sz val="10"/>
      <name val="Arial Cyr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sz val="12"/>
      <name val="Calibri"/>
      <family val="2"/>
      <charset val="204"/>
      <scheme val="minor"/>
    </font>
    <font>
      <sz val="12"/>
      <name val="Arial Cyr"/>
      <charset val="204"/>
    </font>
    <font>
      <sz val="11"/>
      <name val="Arial Cyr"/>
      <charset val="204"/>
    </font>
    <font>
      <b/>
      <sz val="20"/>
      <name val="Arial Cyr"/>
      <charset val="204"/>
    </font>
    <font>
      <b/>
      <sz val="10"/>
      <color rgb="FFFF0000"/>
      <name val="Arial Cyr"/>
      <charset val="204"/>
    </font>
    <font>
      <b/>
      <sz val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4"/>
      <name val="Arial Cyr"/>
      <family val="2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11"/>
      <color rgb="FFFF0000"/>
      <name val="Arial Cyr"/>
      <charset val="204"/>
    </font>
    <font>
      <i/>
      <sz val="10"/>
      <color rgb="FFFF0000"/>
      <name val="Arial Cyr"/>
      <charset val="204"/>
    </font>
    <font>
      <b/>
      <i/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rgb="FF0070C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vertAlign val="superscript"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rgb="FF002060"/>
      <name val="Arial"/>
      <family val="2"/>
      <charset val="204"/>
    </font>
    <font>
      <b/>
      <u/>
      <sz val="10"/>
      <color rgb="FFFF0000"/>
      <name val="Times New Roman"/>
      <family val="1"/>
      <charset val="204"/>
    </font>
    <font>
      <b/>
      <sz val="1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9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22">
    <xf numFmtId="0" fontId="0" fillId="0" borderId="0" xfId="0"/>
    <xf numFmtId="0" fontId="0" fillId="0" borderId="0" xfId="0" applyBorder="1"/>
    <xf numFmtId="0" fontId="0" fillId="0" borderId="0" xfId="0" applyFill="1"/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 wrapText="1"/>
    </xf>
    <xf numFmtId="49" fontId="2" fillId="0" borderId="7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2" fontId="2" fillId="0" borderId="9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0" fontId="6" fillId="0" borderId="5" xfId="0" applyFont="1" applyBorder="1" applyAlignment="1">
      <alignment wrapText="1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2" fillId="2" borderId="6" xfId="0" applyFont="1" applyFill="1" applyBorder="1" applyAlignment="1">
      <alignment horizontal="center" vertical="top" wrapText="1"/>
    </xf>
    <xf numFmtId="0" fontId="9" fillId="0" borderId="0" xfId="0" applyFont="1"/>
    <xf numFmtId="2" fontId="9" fillId="0" borderId="0" xfId="0" applyNumberFormat="1" applyFont="1"/>
    <xf numFmtId="4" fontId="9" fillId="0" borderId="0" xfId="0" applyNumberFormat="1" applyFont="1"/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0" borderId="17" xfId="0" applyFont="1" applyBorder="1"/>
    <xf numFmtId="0" fontId="7" fillId="0" borderId="18" xfId="0" applyFont="1" applyBorder="1"/>
    <xf numFmtId="0" fontId="7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6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vertical="center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16" fillId="0" borderId="0" xfId="0" applyFont="1"/>
    <xf numFmtId="166" fontId="0" fillId="0" borderId="0" xfId="0" applyNumberFormat="1"/>
    <xf numFmtId="0" fontId="0" fillId="0" borderId="22" xfId="0" applyBorder="1"/>
    <xf numFmtId="0" fontId="16" fillId="0" borderId="22" xfId="0" applyFont="1" applyBorder="1" applyAlignment="1">
      <alignment horizontal="center" vertical="center" wrapText="1"/>
    </xf>
    <xf numFmtId="166" fontId="0" fillId="0" borderId="0" xfId="0" applyNumberFormat="1" applyBorder="1"/>
    <xf numFmtId="0" fontId="0" fillId="0" borderId="0" xfId="0" applyAlignment="1">
      <alignment horizontal="right" vertical="center"/>
    </xf>
    <xf numFmtId="0" fontId="11" fillId="0" borderId="22" xfId="0" applyFont="1" applyBorder="1" applyAlignment="1">
      <alignment horizontal="right"/>
    </xf>
    <xf numFmtId="0" fontId="17" fillId="0" borderId="22" xfId="0" applyFont="1" applyBorder="1"/>
    <xf numFmtId="166" fontId="17" fillId="0" borderId="22" xfId="0" applyNumberFormat="1" applyFont="1" applyBorder="1"/>
    <xf numFmtId="0" fontId="18" fillId="0" borderId="0" xfId="0" applyFont="1" applyBorder="1" applyAlignment="1">
      <alignment horizontal="right" vertical="center"/>
    </xf>
    <xf numFmtId="166" fontId="6" fillId="0" borderId="5" xfId="0" applyNumberFormat="1" applyFont="1" applyFill="1" applyBorder="1" applyAlignment="1">
      <alignment vertical="center"/>
    </xf>
    <xf numFmtId="166" fontId="7" fillId="0" borderId="5" xfId="0" applyNumberFormat="1" applyFont="1" applyFill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166" fontId="7" fillId="0" borderId="19" xfId="0" applyNumberFormat="1" applyFont="1" applyBorder="1" applyAlignment="1">
      <alignment vertical="center"/>
    </xf>
    <xf numFmtId="166" fontId="7" fillId="0" borderId="20" xfId="0" applyNumberFormat="1" applyFont="1" applyBorder="1" applyAlignment="1">
      <alignment vertical="center"/>
    </xf>
    <xf numFmtId="165" fontId="7" fillId="0" borderId="0" xfId="0" applyNumberFormat="1" applyFont="1"/>
    <xf numFmtId="0" fontId="6" fillId="0" borderId="0" xfId="0" applyFont="1" applyBorder="1"/>
    <xf numFmtId="0" fontId="0" fillId="0" borderId="22" xfId="0" applyBorder="1" applyAlignment="1">
      <alignment vertical="center"/>
    </xf>
    <xf numFmtId="164" fontId="19" fillId="0" borderId="22" xfId="0" applyNumberFormat="1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15" fillId="0" borderId="25" xfId="0" applyFont="1" applyBorder="1"/>
    <xf numFmtId="164" fontId="19" fillId="0" borderId="25" xfId="0" applyNumberFormat="1" applyFont="1" applyFill="1" applyBorder="1" applyAlignment="1">
      <alignment vertical="center"/>
    </xf>
    <xf numFmtId="164" fontId="19" fillId="0" borderId="25" xfId="0" applyNumberFormat="1" applyFont="1" applyBorder="1" applyAlignment="1">
      <alignment vertical="center"/>
    </xf>
    <xf numFmtId="165" fontId="19" fillId="0" borderId="14" xfId="0" applyNumberFormat="1" applyFont="1" applyBorder="1" applyAlignment="1">
      <alignment horizontal="right" vertical="center"/>
    </xf>
    <xf numFmtId="0" fontId="0" fillId="0" borderId="22" xfId="0" applyFont="1" applyBorder="1"/>
    <xf numFmtId="166" fontId="0" fillId="0" borderId="22" xfId="0" applyNumberFormat="1" applyFont="1" applyBorder="1"/>
    <xf numFmtId="3" fontId="0" fillId="0" borderId="22" xfId="0" applyNumberFormat="1" applyFont="1" applyBorder="1"/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166" fontId="20" fillId="0" borderId="22" xfId="0" applyNumberFormat="1" applyFont="1" applyBorder="1" applyAlignment="1">
      <alignment horizontal="right" vertical="center"/>
    </xf>
    <xf numFmtId="166" fontId="18" fillId="0" borderId="0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166" fontId="20" fillId="0" borderId="22" xfId="0" applyNumberFormat="1" applyFont="1" applyBorder="1" applyAlignment="1">
      <alignment vertical="center"/>
    </xf>
    <xf numFmtId="166" fontId="6" fillId="0" borderId="0" xfId="0" applyNumberFormat="1" applyFont="1"/>
    <xf numFmtId="0" fontId="11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17" fontId="20" fillId="0" borderId="22" xfId="0" applyNumberFormat="1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/>
    </xf>
    <xf numFmtId="166" fontId="21" fillId="0" borderId="22" xfId="0" applyNumberFormat="1" applyFont="1" applyBorder="1"/>
    <xf numFmtId="0" fontId="21" fillId="0" borderId="22" xfId="0" applyFont="1" applyBorder="1"/>
    <xf numFmtId="0" fontId="20" fillId="0" borderId="22" xfId="0" applyFont="1" applyFill="1" applyBorder="1" applyAlignment="1">
      <alignment vertical="center"/>
    </xf>
    <xf numFmtId="0" fontId="18" fillId="0" borderId="26" xfId="0" applyFont="1" applyBorder="1" applyAlignment="1">
      <alignment horizontal="right"/>
    </xf>
    <xf numFmtId="166" fontId="21" fillId="0" borderId="22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/>
    <xf numFmtId="165" fontId="19" fillId="0" borderId="22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2" fontId="20" fillId="0" borderId="22" xfId="0" applyNumberFormat="1" applyFont="1" applyFill="1" applyBorder="1" applyAlignment="1">
      <alignment vertical="center"/>
    </xf>
    <xf numFmtId="2" fontId="20" fillId="0" borderId="22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49" fontId="20" fillId="0" borderId="29" xfId="0" applyNumberFormat="1" applyFont="1" applyBorder="1" applyAlignment="1">
      <alignment horizontal="left" vertical="center" wrapText="1"/>
    </xf>
    <xf numFmtId="17" fontId="20" fillId="0" borderId="36" xfId="0" applyNumberFormat="1" applyFont="1" applyBorder="1" applyAlignment="1">
      <alignment horizontal="left" vertical="center" wrapText="1"/>
    </xf>
    <xf numFmtId="49" fontId="20" fillId="0" borderId="28" xfId="0" applyNumberFormat="1" applyFont="1" applyBorder="1" applyAlignment="1">
      <alignment horizontal="left" vertical="center" wrapText="1"/>
    </xf>
    <xf numFmtId="17" fontId="20" fillId="0" borderId="28" xfId="0" applyNumberFormat="1" applyFont="1" applyBorder="1" applyAlignment="1">
      <alignment horizontal="left" vertical="center" wrapText="1"/>
    </xf>
    <xf numFmtId="0" fontId="0" fillId="0" borderId="24" xfId="0" applyBorder="1"/>
    <xf numFmtId="49" fontId="20" fillId="0" borderId="29" xfId="0" applyNumberFormat="1" applyFont="1" applyBorder="1" applyAlignment="1">
      <alignment horizontal="center" vertical="top" wrapText="1"/>
    </xf>
    <xf numFmtId="0" fontId="23" fillId="0" borderId="0" xfId="0" applyFont="1"/>
    <xf numFmtId="0" fontId="15" fillId="0" borderId="0" xfId="0" applyFont="1"/>
    <xf numFmtId="0" fontId="15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5" fillId="0" borderId="0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 applyBorder="1" applyAlignment="1">
      <alignment horizontal="left" vertical="center"/>
    </xf>
    <xf numFmtId="0" fontId="0" fillId="0" borderId="41" xfId="0" applyBorder="1"/>
    <xf numFmtId="0" fontId="7" fillId="0" borderId="22" xfId="0" applyFont="1" applyBorder="1"/>
    <xf numFmtId="0" fontId="7" fillId="0" borderId="22" xfId="0" applyFont="1" applyBorder="1" applyAlignment="1">
      <alignment horizontal="center" vertical="center"/>
    </xf>
    <xf numFmtId="167" fontId="7" fillId="0" borderId="22" xfId="0" applyNumberFormat="1" applyFont="1" applyBorder="1" applyAlignment="1">
      <alignment horizontal="right" vertical="center"/>
    </xf>
    <xf numFmtId="166" fontId="6" fillId="0" borderId="0" xfId="0" applyNumberFormat="1" applyFont="1" applyFill="1" applyBorder="1" applyAlignment="1">
      <alignment vertical="center"/>
    </xf>
    <xf numFmtId="166" fontId="6" fillId="0" borderId="5" xfId="0" applyNumberFormat="1" applyFont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0" fontId="7" fillId="0" borderId="5" xfId="0" applyFont="1" applyBorder="1"/>
    <xf numFmtId="49" fontId="20" fillId="0" borderId="2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8" fillId="0" borderId="26" xfId="0" applyFont="1" applyBorder="1" applyAlignment="1">
      <alignment horizontal="right"/>
    </xf>
    <xf numFmtId="4" fontId="20" fillId="0" borderId="22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166" fontId="0" fillId="0" borderId="22" xfId="0" applyNumberFormat="1" applyFont="1" applyBorder="1" applyAlignment="1">
      <alignment vertical="center"/>
    </xf>
    <xf numFmtId="49" fontId="24" fillId="0" borderId="22" xfId="0" applyNumberFormat="1" applyFont="1" applyBorder="1" applyAlignment="1">
      <alignment horizontal="center" vertical="center" wrapText="1"/>
    </xf>
    <xf numFmtId="166" fontId="0" fillId="0" borderId="22" xfId="0" applyNumberFormat="1" applyBorder="1" applyAlignment="1">
      <alignment vertical="center"/>
    </xf>
    <xf numFmtId="166" fontId="18" fillId="0" borderId="0" xfId="0" applyNumberFormat="1" applyFont="1" applyFill="1" applyBorder="1" applyAlignment="1">
      <alignment vertical="center"/>
    </xf>
    <xf numFmtId="3" fontId="0" fillId="0" borderId="22" xfId="0" applyNumberFormat="1" applyBorder="1" applyAlignment="1">
      <alignment horizontal="right" vertical="center"/>
    </xf>
    <xf numFmtId="167" fontId="20" fillId="0" borderId="22" xfId="0" applyNumberFormat="1" applyFont="1" applyBorder="1" applyAlignment="1">
      <alignment horizontal="right" vertical="center"/>
    </xf>
    <xf numFmtId="0" fontId="17" fillId="0" borderId="0" xfId="0" applyFont="1"/>
    <xf numFmtId="0" fontId="17" fillId="0" borderId="22" xfId="0" applyFont="1" applyBorder="1" applyAlignment="1">
      <alignment horizontal="center" vertical="center"/>
    </xf>
    <xf numFmtId="166" fontId="19" fillId="0" borderId="32" xfId="0" applyNumberFormat="1" applyFon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33" xfId="0" applyBorder="1" applyAlignment="1">
      <alignment horizontal="center" vertical="center" wrapText="1"/>
    </xf>
    <xf numFmtId="168" fontId="0" fillId="0" borderId="22" xfId="0" applyNumberFormat="1" applyBorder="1" applyAlignment="1">
      <alignment vertical="center"/>
    </xf>
    <xf numFmtId="169" fontId="15" fillId="0" borderId="22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0" fillId="0" borderId="0" xfId="0"/>
    <xf numFmtId="0" fontId="19" fillId="0" borderId="22" xfId="0" applyFont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vertical="center"/>
    </xf>
    <xf numFmtId="0" fontId="19" fillId="3" borderId="24" xfId="0" applyFont="1" applyFill="1" applyBorder="1" applyAlignment="1">
      <alignment horizontal="center" vertical="center"/>
    </xf>
    <xf numFmtId="164" fontId="19" fillId="3" borderId="24" xfId="0" applyNumberFormat="1" applyFont="1" applyFill="1" applyBorder="1" applyAlignment="1">
      <alignment vertical="center"/>
    </xf>
    <xf numFmtId="164" fontId="19" fillId="3" borderId="24" xfId="0" applyNumberFormat="1" applyFont="1" applyFill="1" applyBorder="1" applyAlignment="1">
      <alignment horizontal="center" vertical="center"/>
    </xf>
    <xf numFmtId="2" fontId="19" fillId="3" borderId="26" xfId="0" applyNumberFormat="1" applyFont="1" applyFill="1" applyBorder="1" applyAlignment="1">
      <alignment vertical="center"/>
    </xf>
    <xf numFmtId="165" fontId="19" fillId="3" borderId="24" xfId="0" applyNumberFormat="1" applyFont="1" applyFill="1" applyBorder="1" applyAlignment="1">
      <alignment vertical="center"/>
    </xf>
    <xf numFmtId="0" fontId="15" fillId="0" borderId="22" xfId="0" applyFont="1" applyBorder="1" applyAlignment="1">
      <alignment wrapText="1"/>
    </xf>
    <xf numFmtId="170" fontId="0" fillId="0" borderId="22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0" xfId="0"/>
    <xf numFmtId="171" fontId="0" fillId="0" borderId="22" xfId="0" applyNumberFormat="1" applyBorder="1" applyAlignment="1">
      <alignment horizontal="center" vertical="center"/>
    </xf>
    <xf numFmtId="0" fontId="15" fillId="0" borderId="22" xfId="0" applyFont="1" applyFill="1" applyBorder="1" applyAlignment="1">
      <alignment wrapText="1"/>
    </xf>
    <xf numFmtId="170" fontId="0" fillId="0" borderId="22" xfId="0" applyNumberFormat="1" applyFill="1" applyBorder="1" applyAlignment="1">
      <alignment horizontal="center" vertical="center"/>
    </xf>
    <xf numFmtId="16" fontId="0" fillId="0" borderId="0" xfId="0" applyNumberFormat="1"/>
    <xf numFmtId="171" fontId="19" fillId="0" borderId="32" xfId="0" applyNumberFormat="1" applyFont="1" applyBorder="1" applyAlignment="1">
      <alignment horizontal="center" vertical="center"/>
    </xf>
    <xf numFmtId="164" fontId="19" fillId="0" borderId="22" xfId="0" applyNumberFormat="1" applyFont="1" applyBorder="1" applyAlignment="1">
      <alignment horizontal="center" vertical="center"/>
    </xf>
    <xf numFmtId="0" fontId="0" fillId="0" borderId="0" xfId="0"/>
    <xf numFmtId="0" fontId="19" fillId="0" borderId="22" xfId="0" applyFont="1" applyBorder="1" applyAlignment="1">
      <alignment horizontal="center" vertical="top"/>
    </xf>
    <xf numFmtId="0" fontId="15" fillId="0" borderId="24" xfId="0" applyFont="1" applyBorder="1" applyAlignment="1">
      <alignment wrapText="1"/>
    </xf>
    <xf numFmtId="0" fontId="15" fillId="0" borderId="32" xfId="0" applyFont="1" applyBorder="1" applyAlignment="1">
      <alignment wrapText="1"/>
    </xf>
    <xf numFmtId="0" fontId="15" fillId="0" borderId="23" xfId="0" applyFont="1" applyBorder="1" applyAlignment="1">
      <alignment wrapText="1"/>
    </xf>
    <xf numFmtId="171" fontId="19" fillId="0" borderId="22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right" vertical="center" wrapText="1"/>
    </xf>
    <xf numFmtId="171" fontId="19" fillId="0" borderId="25" xfId="0" applyNumberFormat="1" applyFont="1" applyBorder="1" applyAlignment="1">
      <alignment vertical="center"/>
    </xf>
    <xf numFmtId="171" fontId="19" fillId="0" borderId="22" xfId="0" applyNumberFormat="1" applyFont="1" applyBorder="1" applyAlignment="1">
      <alignment vertical="center"/>
    </xf>
    <xf numFmtId="0" fontId="19" fillId="0" borderId="22" xfId="0" applyFont="1" applyBorder="1" applyAlignment="1">
      <alignment horizontal="left" vertical="top"/>
    </xf>
    <xf numFmtId="0" fontId="0" fillId="0" borderId="0" xfId="0" applyBorder="1"/>
    <xf numFmtId="0" fontId="0" fillId="3" borderId="0" xfId="0" applyFill="1"/>
    <xf numFmtId="0" fontId="6" fillId="0" borderId="43" xfId="0" applyFont="1" applyBorder="1"/>
    <xf numFmtId="0" fontId="6" fillId="0" borderId="17" xfId="0" applyFont="1" applyBorder="1" applyAlignment="1">
      <alignment horizontal="center" vertical="center" wrapText="1"/>
    </xf>
    <xf numFmtId="172" fontId="6" fillId="0" borderId="5" xfId="0" applyNumberFormat="1" applyFont="1" applyBorder="1" applyAlignment="1">
      <alignment vertical="center"/>
    </xf>
    <xf numFmtId="172" fontId="6" fillId="0" borderId="22" xfId="0" applyNumberFormat="1" applyFont="1" applyBorder="1" applyAlignment="1">
      <alignment horizontal="right" vertical="center"/>
    </xf>
    <xf numFmtId="172" fontId="7" fillId="0" borderId="30" xfId="0" applyNumberFormat="1" applyFont="1" applyBorder="1" applyAlignment="1">
      <alignment horizontal="right" vertical="center"/>
    </xf>
    <xf numFmtId="166" fontId="6" fillId="0" borderId="43" xfId="0" applyNumberFormat="1" applyFont="1" applyFill="1" applyBorder="1" applyAlignment="1">
      <alignment vertical="center"/>
    </xf>
    <xf numFmtId="0" fontId="6" fillId="0" borderId="44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24" xfId="0" applyFont="1" applyFill="1" applyBorder="1" applyAlignment="1">
      <alignment horizontal="right" vertical="center"/>
    </xf>
    <xf numFmtId="0" fontId="3" fillId="3" borderId="24" xfId="0" applyFont="1" applyFill="1" applyBorder="1" applyAlignment="1">
      <alignment vertical="center"/>
    </xf>
    <xf numFmtId="0" fontId="3" fillId="3" borderId="0" xfId="0" applyFont="1" applyFill="1"/>
    <xf numFmtId="2" fontId="3" fillId="3" borderId="0" xfId="0" applyNumberFormat="1" applyFont="1" applyFill="1"/>
    <xf numFmtId="0" fontId="0" fillId="0" borderId="0" xfId="0" applyFont="1"/>
    <xf numFmtId="0" fontId="3" fillId="3" borderId="22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 vertical="center"/>
    </xf>
    <xf numFmtId="172" fontId="3" fillId="3" borderId="2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vertical="center"/>
    </xf>
    <xf numFmtId="4" fontId="3" fillId="3" borderId="22" xfId="0" applyNumberFormat="1" applyFont="1" applyFill="1" applyBorder="1" applyAlignment="1">
      <alignment horizontal="right" vertical="center"/>
    </xf>
    <xf numFmtId="4" fontId="3" fillId="3" borderId="32" xfId="0" applyNumberFormat="1" applyFont="1" applyFill="1" applyBorder="1" applyAlignment="1">
      <alignment horizontal="right" vertical="center"/>
    </xf>
    <xf numFmtId="172" fontId="3" fillId="3" borderId="32" xfId="0" applyNumberFormat="1" applyFont="1" applyFill="1" applyBorder="1" applyAlignment="1">
      <alignment horizontal="right" vertical="center"/>
    </xf>
    <xf numFmtId="166" fontId="6" fillId="0" borderId="45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166" fontId="6" fillId="0" borderId="22" xfId="0" applyNumberFormat="1" applyFont="1" applyBorder="1" applyAlignment="1">
      <alignment vertical="center"/>
    </xf>
    <xf numFmtId="166" fontId="6" fillId="0" borderId="22" xfId="0" applyNumberFormat="1" applyFont="1" applyBorder="1" applyAlignment="1">
      <alignment horizontal="right" vertical="center"/>
    </xf>
    <xf numFmtId="0" fontId="3" fillId="3" borderId="43" xfId="0" applyFont="1" applyFill="1" applyBorder="1" applyAlignment="1">
      <alignment horizontal="left" vertical="center"/>
    </xf>
    <xf numFmtId="3" fontId="3" fillId="3" borderId="22" xfId="0" applyNumberFormat="1" applyFont="1" applyFill="1" applyBorder="1" applyAlignment="1">
      <alignment horizontal="right" vertical="center"/>
    </xf>
    <xf numFmtId="167" fontId="7" fillId="0" borderId="30" xfId="0" applyNumberFormat="1" applyFont="1" applyBorder="1" applyAlignment="1">
      <alignment horizontal="right" vertical="center"/>
    </xf>
    <xf numFmtId="172" fontId="6" fillId="0" borderId="46" xfId="0" applyNumberFormat="1" applyFont="1" applyBorder="1" applyAlignment="1">
      <alignment horizontal="right" vertical="center"/>
    </xf>
    <xf numFmtId="172" fontId="6" fillId="0" borderId="29" xfId="0" applyNumberFormat="1" applyFont="1" applyBorder="1" applyAlignment="1">
      <alignment vertical="center"/>
    </xf>
    <xf numFmtId="0" fontId="6" fillId="0" borderId="44" xfId="0" applyFont="1" applyBorder="1" applyAlignment="1">
      <alignment horizontal="left" vertical="center"/>
    </xf>
    <xf numFmtId="172" fontId="6" fillId="0" borderId="23" xfId="0" applyNumberFormat="1" applyFont="1" applyBorder="1" applyAlignment="1">
      <alignment horizontal="right" vertical="center"/>
    </xf>
    <xf numFmtId="0" fontId="25" fillId="3" borderId="0" xfId="0" applyFont="1" applyFill="1"/>
    <xf numFmtId="0" fontId="3" fillId="0" borderId="0" xfId="0" applyFont="1" applyFill="1"/>
    <xf numFmtId="0" fontId="6" fillId="0" borderId="17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7" fillId="0" borderId="34" xfId="0" applyFont="1" applyBorder="1"/>
    <xf numFmtId="0" fontId="7" fillId="0" borderId="43" xfId="0" applyFont="1" applyBorder="1"/>
    <xf numFmtId="0" fontId="7" fillId="0" borderId="37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50" xfId="0" applyFont="1" applyBorder="1"/>
    <xf numFmtId="0" fontId="6" fillId="0" borderId="2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6" fontId="7" fillId="0" borderId="20" xfId="0" applyNumberFormat="1" applyFont="1" applyFill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172" fontId="6" fillId="0" borderId="22" xfId="0" applyNumberFormat="1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0" fillId="0" borderId="0" xfId="0"/>
    <xf numFmtId="0" fontId="14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/>
    <xf numFmtId="166" fontId="0" fillId="3" borderId="0" xfId="0" applyNumberFormat="1" applyFill="1"/>
    <xf numFmtId="0" fontId="6" fillId="0" borderId="0" xfId="0" applyFont="1" applyBorder="1" applyAlignment="1">
      <alignment horizontal="center" vertical="center"/>
    </xf>
    <xf numFmtId="166" fontId="6" fillId="0" borderId="0" xfId="0" applyNumberFormat="1" applyFont="1" applyBorder="1" applyAlignment="1">
      <alignment vertical="center"/>
    </xf>
    <xf numFmtId="4" fontId="0" fillId="0" borderId="0" xfId="0" applyNumberFormat="1"/>
    <xf numFmtId="166" fontId="6" fillId="0" borderId="45" xfId="0" applyNumberFormat="1" applyFont="1" applyFill="1" applyBorder="1" applyAlignment="1">
      <alignment vertical="center"/>
    </xf>
    <xf numFmtId="166" fontId="6" fillId="0" borderId="46" xfId="0" applyNumberFormat="1" applyFont="1" applyFill="1" applyBorder="1" applyAlignment="1">
      <alignment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0" fontId="6" fillId="0" borderId="65" xfId="0" applyFont="1" applyBorder="1"/>
    <xf numFmtId="0" fontId="6" fillId="0" borderId="64" xfId="0" applyFont="1" applyBorder="1"/>
    <xf numFmtId="166" fontId="6" fillId="0" borderId="65" xfId="0" applyNumberFormat="1" applyFont="1" applyFill="1" applyBorder="1" applyAlignment="1">
      <alignment vertical="center"/>
    </xf>
    <xf numFmtId="0" fontId="6" fillId="0" borderId="64" xfId="0" applyFont="1" applyBorder="1" applyAlignment="1">
      <alignment wrapText="1"/>
    </xf>
    <xf numFmtId="0" fontId="6" fillId="0" borderId="66" xfId="0" applyFont="1" applyBorder="1"/>
    <xf numFmtId="166" fontId="6" fillId="0" borderId="67" xfId="0" applyNumberFormat="1" applyFont="1" applyBorder="1" applyAlignment="1">
      <alignment vertical="center"/>
    </xf>
    <xf numFmtId="0" fontId="6" fillId="0" borderId="68" xfId="0" applyFont="1" applyBorder="1"/>
    <xf numFmtId="0" fontId="6" fillId="0" borderId="69" xfId="0" applyFont="1" applyBorder="1"/>
    <xf numFmtId="0" fontId="6" fillId="0" borderId="39" xfId="0" applyFont="1" applyBorder="1"/>
    <xf numFmtId="0" fontId="5" fillId="0" borderId="22" xfId="0" applyFont="1" applyBorder="1" applyAlignment="1">
      <alignment horizontal="right"/>
    </xf>
    <xf numFmtId="0" fontId="5" fillId="0" borderId="22" xfId="0" applyFont="1" applyBorder="1"/>
    <xf numFmtId="0" fontId="5" fillId="0" borderId="0" xfId="0" applyFont="1"/>
    <xf numFmtId="0" fontId="8" fillId="0" borderId="0" xfId="0" applyFont="1" applyBorder="1" applyAlignment="1">
      <alignment horizontal="right" vertical="center"/>
    </xf>
    <xf numFmtId="0" fontId="5" fillId="0" borderId="0" xfId="0" applyFont="1" applyBorder="1"/>
    <xf numFmtId="166" fontId="5" fillId="0" borderId="0" xfId="0" applyNumberFormat="1" applyFont="1"/>
    <xf numFmtId="0" fontId="27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4" fontId="5" fillId="0" borderId="22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4" fontId="5" fillId="0" borderId="29" xfId="0" applyNumberFormat="1" applyFont="1" applyFill="1" applyBorder="1" applyAlignment="1">
      <alignment horizontal="right" vertical="center"/>
    </xf>
    <xf numFmtId="4" fontId="5" fillId="0" borderId="22" xfId="0" applyNumberFormat="1" applyFont="1" applyFill="1" applyBorder="1" applyAlignment="1">
      <alignment horizontal="right" vertical="center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22" xfId="0" applyNumberFormat="1" applyFont="1" applyFill="1" applyBorder="1" applyAlignment="1">
      <alignment horizontal="right" vertical="center"/>
    </xf>
    <xf numFmtId="3" fontId="5" fillId="0" borderId="22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right"/>
    </xf>
    <xf numFmtId="166" fontId="5" fillId="0" borderId="22" xfId="0" applyNumberFormat="1" applyFont="1" applyBorder="1" applyAlignment="1">
      <alignment vertical="center"/>
    </xf>
    <xf numFmtId="166" fontId="8" fillId="0" borderId="22" xfId="0" applyNumberFormat="1" applyFont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0" fontId="27" fillId="4" borderId="22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right" vertical="center"/>
    </xf>
    <xf numFmtId="4" fontId="8" fillId="0" borderId="22" xfId="0" applyNumberFormat="1" applyFont="1" applyBorder="1" applyAlignment="1">
      <alignment vertical="center"/>
    </xf>
    <xf numFmtId="0" fontId="27" fillId="4" borderId="2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4" fontId="8" fillId="0" borderId="22" xfId="0" applyNumberFormat="1" applyFont="1" applyBorder="1" applyAlignment="1">
      <alignment vertical="center" wrapText="1"/>
    </xf>
    <xf numFmtId="0" fontId="8" fillId="0" borderId="22" xfId="0" applyFont="1" applyBorder="1" applyAlignment="1">
      <alignment horizontal="right" vertical="center" wrapText="1"/>
    </xf>
    <xf numFmtId="0" fontId="7" fillId="0" borderId="0" xfId="0" applyFont="1"/>
    <xf numFmtId="166" fontId="7" fillId="3" borderId="5" xfId="0" applyNumberFormat="1" applyFont="1" applyFill="1" applyBorder="1" applyAlignment="1">
      <alignment vertical="center"/>
    </xf>
    <xf numFmtId="0" fontId="16" fillId="3" borderId="0" xfId="0" applyFont="1" applyFill="1"/>
    <xf numFmtId="0" fontId="33" fillId="0" borderId="22" xfId="0" applyFont="1" applyFill="1" applyBorder="1" applyAlignment="1">
      <alignment vertical="center"/>
    </xf>
    <xf numFmtId="166" fontId="33" fillId="0" borderId="22" xfId="0" applyNumberFormat="1" applyFont="1" applyBorder="1" applyAlignment="1">
      <alignment vertical="center"/>
    </xf>
    <xf numFmtId="166" fontId="34" fillId="0" borderId="22" xfId="0" applyNumberFormat="1" applyFont="1" applyBorder="1" applyAlignment="1">
      <alignment vertical="center"/>
    </xf>
    <xf numFmtId="0" fontId="19" fillId="0" borderId="0" xfId="0" applyFont="1"/>
    <xf numFmtId="0" fontId="31" fillId="0" borderId="0" xfId="0" applyFont="1"/>
    <xf numFmtId="0" fontId="32" fillId="0" borderId="0" xfId="0" applyFont="1"/>
    <xf numFmtId="4" fontId="35" fillId="0" borderId="0" xfId="0" applyNumberFormat="1" applyFont="1"/>
    <xf numFmtId="166" fontId="5" fillId="5" borderId="22" xfId="0" applyNumberFormat="1" applyFont="1" applyFill="1" applyBorder="1" applyAlignment="1">
      <alignment vertical="center"/>
    </xf>
    <xf numFmtId="4" fontId="36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" fontId="36" fillId="0" borderId="22" xfId="0" applyNumberFormat="1" applyFont="1" applyFill="1" applyBorder="1" applyAlignment="1">
      <alignment vertical="center"/>
    </xf>
    <xf numFmtId="4" fontId="36" fillId="5" borderId="22" xfId="0" applyNumberFormat="1" applyFont="1" applyFill="1" applyBorder="1" applyAlignment="1">
      <alignment vertical="center"/>
    </xf>
    <xf numFmtId="0" fontId="5" fillId="5" borderId="22" xfId="0" applyFont="1" applyFill="1" applyBorder="1" applyAlignment="1">
      <alignment vertical="center" wrapText="1"/>
    </xf>
    <xf numFmtId="0" fontId="5" fillId="5" borderId="22" xfId="0" applyFont="1" applyFill="1" applyBorder="1" applyAlignment="1">
      <alignment vertical="center"/>
    </xf>
    <xf numFmtId="0" fontId="36" fillId="5" borderId="22" xfId="0" applyFont="1" applyFill="1" applyBorder="1" applyAlignment="1">
      <alignment horizontal="center" vertical="center"/>
    </xf>
    <xf numFmtId="4" fontId="8" fillId="0" borderId="22" xfId="0" applyNumberFormat="1" applyFont="1" applyBorder="1" applyAlignment="1">
      <alignment horizontal="left" vertical="center" wrapText="1"/>
    </xf>
    <xf numFmtId="2" fontId="16" fillId="0" borderId="24" xfId="0" applyNumberFormat="1" applyFont="1" applyFill="1" applyBorder="1" applyAlignment="1">
      <alignment horizontal="center" vertical="center" wrapText="1"/>
    </xf>
    <xf numFmtId="2" fontId="15" fillId="0" borderId="27" xfId="0" applyNumberFormat="1" applyFont="1" applyBorder="1"/>
    <xf numFmtId="2" fontId="0" fillId="0" borderId="0" xfId="0" applyNumberFormat="1" applyBorder="1"/>
    <xf numFmtId="0" fontId="11" fillId="0" borderId="22" xfId="0" applyFont="1" applyFill="1" applyBorder="1" applyAlignment="1">
      <alignment horizontal="right" vertical="center"/>
    </xf>
    <xf numFmtId="0" fontId="20" fillId="0" borderId="22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center" vertical="center"/>
    </xf>
    <xf numFmtId="2" fontId="20" fillId="0" borderId="22" xfId="0" applyNumberFormat="1" applyFont="1" applyBorder="1"/>
    <xf numFmtId="2" fontId="0" fillId="0" borderId="22" xfId="0" applyNumberFormat="1" applyBorder="1" applyAlignment="1">
      <alignment horizontal="center"/>
    </xf>
    <xf numFmtId="166" fontId="6" fillId="0" borderId="67" xfId="0" applyNumberFormat="1" applyFont="1" applyFill="1" applyBorder="1" applyAlignment="1">
      <alignment vertical="center"/>
    </xf>
    <xf numFmtId="0" fontId="6" fillId="0" borderId="22" xfId="0" applyFont="1" applyBorder="1"/>
    <xf numFmtId="166" fontId="6" fillId="0" borderId="22" xfId="0" applyNumberFormat="1" applyFont="1" applyFill="1" applyBorder="1" applyAlignment="1">
      <alignment vertical="center"/>
    </xf>
    <xf numFmtId="0" fontId="6" fillId="0" borderId="22" xfId="0" applyFont="1" applyFill="1" applyBorder="1"/>
    <xf numFmtId="166" fontId="6" fillId="0" borderId="72" xfId="0" applyNumberFormat="1" applyFont="1" applyFill="1" applyBorder="1" applyAlignment="1">
      <alignment vertical="center"/>
    </xf>
    <xf numFmtId="0" fontId="7" fillId="3" borderId="71" xfId="0" applyFont="1" applyFill="1" applyBorder="1"/>
    <xf numFmtId="0" fontId="7" fillId="3" borderId="30" xfId="0" applyFont="1" applyFill="1" applyBorder="1" applyAlignment="1">
      <alignment horizontal="center" vertical="center"/>
    </xf>
    <xf numFmtId="166" fontId="7" fillId="3" borderId="30" xfId="0" applyNumberFormat="1" applyFont="1" applyFill="1" applyBorder="1" applyAlignment="1">
      <alignment vertical="center"/>
    </xf>
    <xf numFmtId="166" fontId="7" fillId="3" borderId="73" xfId="0" applyNumberFormat="1" applyFont="1" applyFill="1" applyBorder="1" applyAlignment="1">
      <alignment vertical="center"/>
    </xf>
    <xf numFmtId="0" fontId="7" fillId="3" borderId="18" xfId="0" applyFont="1" applyFill="1" applyBorder="1"/>
    <xf numFmtId="0" fontId="7" fillId="3" borderId="19" xfId="0" applyFont="1" applyFill="1" applyBorder="1" applyAlignment="1">
      <alignment horizontal="center" vertical="center"/>
    </xf>
    <xf numFmtId="166" fontId="7" fillId="3" borderId="19" xfId="0" applyNumberFormat="1" applyFont="1" applyFill="1" applyBorder="1" applyAlignment="1">
      <alignment vertical="center"/>
    </xf>
    <xf numFmtId="166" fontId="7" fillId="3" borderId="20" xfId="0" applyNumberFormat="1" applyFont="1" applyFill="1" applyBorder="1" applyAlignment="1">
      <alignment vertical="center"/>
    </xf>
    <xf numFmtId="0" fontId="37" fillId="0" borderId="5" xfId="0" applyFont="1" applyBorder="1" applyAlignment="1">
      <alignment horizontal="center" vertical="center"/>
    </xf>
    <xf numFmtId="0" fontId="7" fillId="3" borderId="64" xfId="0" applyFont="1" applyFill="1" applyBorder="1"/>
    <xf numFmtId="0" fontId="7" fillId="3" borderId="5" xfId="0" applyFont="1" applyFill="1" applyBorder="1" applyAlignment="1">
      <alignment horizontal="center" vertical="center"/>
    </xf>
    <xf numFmtId="166" fontId="7" fillId="3" borderId="65" xfId="0" applyNumberFormat="1" applyFont="1" applyFill="1" applyBorder="1" applyAlignment="1">
      <alignment vertical="center"/>
    </xf>
    <xf numFmtId="0" fontId="6" fillId="0" borderId="5" xfId="0" applyFont="1" applyBorder="1"/>
    <xf numFmtId="174" fontId="3" fillId="3" borderId="32" xfId="0" applyNumberFormat="1" applyFont="1" applyFill="1" applyBorder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/>
    <xf numFmtId="0" fontId="13" fillId="0" borderId="22" xfId="0" applyFont="1" applyBorder="1" applyAlignment="1">
      <alignment horizontal="center"/>
    </xf>
    <xf numFmtId="2" fontId="38" fillId="0" borderId="22" xfId="0" applyNumberFormat="1" applyFont="1" applyBorder="1"/>
    <xf numFmtId="166" fontId="12" fillId="0" borderId="29" xfId="0" applyNumberFormat="1" applyFont="1" applyBorder="1"/>
    <xf numFmtId="166" fontId="12" fillId="0" borderId="22" xfId="0" applyNumberFormat="1" applyFont="1" applyBorder="1"/>
    <xf numFmtId="0" fontId="6" fillId="0" borderId="0" xfId="0" applyFont="1" applyBorder="1" applyAlignment="1">
      <alignment vertical="center" wrapText="1"/>
    </xf>
    <xf numFmtId="164" fontId="19" fillId="0" borderId="32" xfId="0" applyNumberFormat="1" applyFont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Fill="1"/>
    <xf numFmtId="166" fontId="6" fillId="0" borderId="43" xfId="0" applyNumberFormat="1" applyFont="1" applyBorder="1" applyAlignment="1">
      <alignment vertical="center"/>
    </xf>
    <xf numFmtId="167" fontId="7" fillId="0" borderId="26" xfId="0" applyNumberFormat="1" applyFont="1" applyBorder="1" applyAlignment="1">
      <alignment horizontal="right" vertical="center"/>
    </xf>
    <xf numFmtId="166" fontId="7" fillId="0" borderId="22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left" vertical="justify"/>
    </xf>
    <xf numFmtId="0" fontId="7" fillId="0" borderId="37" xfId="0" applyFont="1" applyBorder="1" applyAlignment="1">
      <alignment horizontal="left" vertical="justify"/>
    </xf>
    <xf numFmtId="0" fontId="7" fillId="0" borderId="74" xfId="0" applyFont="1" applyBorder="1" applyAlignment="1">
      <alignment horizontal="center" vertical="center"/>
    </xf>
    <xf numFmtId="166" fontId="7" fillId="0" borderId="74" xfId="0" applyNumberFormat="1" applyFont="1" applyBorder="1" applyAlignment="1">
      <alignment vertical="center"/>
    </xf>
    <xf numFmtId="4" fontId="7" fillId="0" borderId="22" xfId="0" applyNumberFormat="1" applyFont="1" applyBorder="1"/>
    <xf numFmtId="0" fontId="6" fillId="0" borderId="41" xfId="0" applyFont="1" applyBorder="1"/>
    <xf numFmtId="166" fontId="7" fillId="0" borderId="43" xfId="0" applyNumberFormat="1" applyFont="1" applyFill="1" applyBorder="1" applyAlignment="1">
      <alignment vertical="center"/>
    </xf>
    <xf numFmtId="166" fontId="18" fillId="5" borderId="0" xfId="0" applyNumberFormat="1" applyFont="1" applyFill="1" applyBorder="1" applyAlignment="1">
      <alignment vertical="center"/>
    </xf>
    <xf numFmtId="0" fontId="13" fillId="5" borderId="0" xfId="0" applyFont="1" applyFill="1"/>
    <xf numFmtId="2" fontId="7" fillId="0" borderId="0" xfId="0" applyNumberFormat="1" applyFont="1"/>
    <xf numFmtId="0" fontId="12" fillId="0" borderId="22" xfId="0" applyFont="1" applyBorder="1" applyAlignment="1">
      <alignment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22" xfId="0" applyFont="1" applyBorder="1" applyAlignment="1">
      <alignment vertical="center" wrapText="1"/>
    </xf>
    <xf numFmtId="0" fontId="38" fillId="0" borderId="22" xfId="0" applyFont="1" applyBorder="1"/>
    <xf numFmtId="0" fontId="38" fillId="0" borderId="22" xfId="0" applyFont="1" applyBorder="1" applyAlignment="1">
      <alignment wrapText="1"/>
    </xf>
    <xf numFmtId="0" fontId="40" fillId="0" borderId="22" xfId="0" applyFont="1" applyBorder="1"/>
    <xf numFmtId="2" fontId="40" fillId="0" borderId="22" xfId="0" applyNumberFormat="1" applyFont="1" applyBorder="1"/>
    <xf numFmtId="0" fontId="38" fillId="0" borderId="0" xfId="0" applyFont="1" applyBorder="1"/>
    <xf numFmtId="0" fontId="13" fillId="0" borderId="0" xfId="0" applyFont="1" applyBorder="1"/>
    <xf numFmtId="2" fontId="7" fillId="0" borderId="22" xfId="0" applyNumberFormat="1" applyFont="1" applyBorder="1"/>
    <xf numFmtId="167" fontId="2" fillId="0" borderId="6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/>
    </xf>
    <xf numFmtId="167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center" vertical="top"/>
    </xf>
    <xf numFmtId="167" fontId="2" fillId="3" borderId="6" xfId="0" applyNumberFormat="1" applyFont="1" applyFill="1" applyBorder="1" applyAlignment="1">
      <alignment horizontal="center" vertical="center"/>
    </xf>
    <xf numFmtId="167" fontId="2" fillId="3" borderId="6" xfId="0" applyNumberFormat="1" applyFont="1" applyFill="1" applyBorder="1" applyAlignment="1">
      <alignment horizontal="center" vertical="center" wrapText="1"/>
    </xf>
    <xf numFmtId="167" fontId="2" fillId="3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7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/>
    </xf>
    <xf numFmtId="0" fontId="0" fillId="0" borderId="0" xfId="0" applyNumberFormat="1"/>
    <xf numFmtId="167" fontId="2" fillId="0" borderId="6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/>
    </xf>
    <xf numFmtId="0" fontId="40" fillId="3" borderId="22" xfId="0" applyFont="1" applyFill="1" applyBorder="1"/>
    <xf numFmtId="2" fontId="40" fillId="3" borderId="22" xfId="0" applyNumberFormat="1" applyFont="1" applyFill="1" applyBorder="1"/>
    <xf numFmtId="0" fontId="12" fillId="3" borderId="22" xfId="0" applyFont="1" applyFill="1" applyBorder="1"/>
    <xf numFmtId="167" fontId="41" fillId="3" borderId="76" xfId="0" applyNumberFormat="1" applyFont="1" applyFill="1" applyBorder="1" applyAlignment="1">
      <alignment horizontal="center" vertical="center" wrapText="1"/>
    </xf>
    <xf numFmtId="167" fontId="41" fillId="3" borderId="77" xfId="0" applyNumberFormat="1" applyFont="1" applyFill="1" applyBorder="1" applyAlignment="1">
      <alignment horizontal="center" vertical="center" wrapText="1"/>
    </xf>
    <xf numFmtId="167" fontId="42" fillId="3" borderId="78" xfId="0" applyNumberFormat="1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vertical="center" wrapText="1"/>
    </xf>
    <xf numFmtId="167" fontId="41" fillId="0" borderId="80" xfId="0" applyNumberFormat="1" applyFont="1" applyFill="1" applyBorder="1" applyAlignment="1">
      <alignment horizontal="center" vertical="center" wrapText="1"/>
    </xf>
    <xf numFmtId="167" fontId="41" fillId="0" borderId="22" xfId="0" applyNumberFormat="1" applyFont="1" applyFill="1" applyBorder="1" applyAlignment="1">
      <alignment horizontal="center" vertical="center" wrapText="1"/>
    </xf>
    <xf numFmtId="167" fontId="41" fillId="0" borderId="29" xfId="0" applyNumberFormat="1" applyFont="1" applyFill="1" applyBorder="1" applyAlignment="1">
      <alignment horizontal="center" vertical="center" wrapText="1"/>
    </xf>
    <xf numFmtId="167" fontId="42" fillId="0" borderId="81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vertical="center" wrapText="1"/>
    </xf>
    <xf numFmtId="167" fontId="41" fillId="5" borderId="80" xfId="0" applyNumberFormat="1" applyFont="1" applyFill="1" applyBorder="1" applyAlignment="1">
      <alignment horizontal="center" vertical="center" wrapText="1"/>
    </xf>
    <xf numFmtId="167" fontId="41" fillId="5" borderId="22" xfId="0" applyNumberFormat="1" applyFont="1" applyFill="1" applyBorder="1" applyAlignment="1">
      <alignment horizontal="center" vertical="center" wrapText="1"/>
    </xf>
    <xf numFmtId="167" fontId="41" fillId="5" borderId="29" xfId="0" applyNumberFormat="1" applyFont="1" applyFill="1" applyBorder="1" applyAlignment="1">
      <alignment horizontal="center" vertical="center" wrapText="1"/>
    </xf>
    <xf numFmtId="167" fontId="42" fillId="5" borderId="81" xfId="0" applyNumberFormat="1" applyFont="1" applyFill="1" applyBorder="1" applyAlignment="1">
      <alignment horizontal="center" vertical="center" wrapText="1"/>
    </xf>
    <xf numFmtId="0" fontId="0" fillId="6" borderId="0" xfId="0" applyFill="1"/>
    <xf numFmtId="167" fontId="42" fillId="5" borderId="82" xfId="0" applyNumberFormat="1" applyFont="1" applyFill="1" applyBorder="1" applyAlignment="1">
      <alignment horizontal="center" vertical="center" wrapText="1"/>
    </xf>
    <xf numFmtId="167" fontId="41" fillId="5" borderId="83" xfId="0" applyNumberFormat="1" applyFont="1" applyFill="1" applyBorder="1" applyAlignment="1">
      <alignment horizontal="center" vertical="center" wrapText="1"/>
    </xf>
    <xf numFmtId="167" fontId="41" fillId="5" borderId="32" xfId="0" applyNumberFormat="1" applyFont="1" applyFill="1" applyBorder="1" applyAlignment="1">
      <alignment horizontal="center" vertical="center" wrapText="1"/>
    </xf>
    <xf numFmtId="167" fontId="41" fillId="5" borderId="36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vertical="center" wrapText="1"/>
    </xf>
    <xf numFmtId="0" fontId="14" fillId="0" borderId="8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8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86" xfId="0" applyFont="1" applyFill="1" applyBorder="1" applyAlignment="1">
      <alignment horizontal="center" vertical="center" wrapText="1"/>
    </xf>
    <xf numFmtId="0" fontId="14" fillId="0" borderId="87" xfId="0" applyFont="1" applyFill="1" applyBorder="1" applyAlignment="1">
      <alignment horizontal="center" vertical="center" wrapText="1"/>
    </xf>
    <xf numFmtId="0" fontId="14" fillId="0" borderId="88" xfId="0" applyFont="1" applyFill="1" applyBorder="1" applyAlignment="1">
      <alignment horizontal="center" vertical="center" wrapText="1"/>
    </xf>
    <xf numFmtId="0" fontId="14" fillId="0" borderId="89" xfId="0" applyFont="1" applyFill="1" applyBorder="1" applyAlignment="1">
      <alignment horizontal="center" vertical="center" wrapText="1"/>
    </xf>
    <xf numFmtId="0" fontId="14" fillId="0" borderId="9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49" fontId="2" fillId="3" borderId="7" xfId="0" applyNumberFormat="1" applyFont="1" applyFill="1" applyBorder="1" applyAlignment="1">
      <alignment horizontal="center" vertical="top" wrapText="1"/>
    </xf>
    <xf numFmtId="166" fontId="6" fillId="7" borderId="5" xfId="0" applyNumberFormat="1" applyFont="1" applyFill="1" applyBorder="1" applyAlignment="1">
      <alignment vertical="center"/>
    </xf>
    <xf numFmtId="166" fontId="43" fillId="0" borderId="5" xfId="0" applyNumberFormat="1" applyFont="1" applyBorder="1" applyAlignment="1">
      <alignment vertical="center"/>
    </xf>
    <xf numFmtId="2" fontId="3" fillId="3" borderId="6" xfId="0" applyNumberFormat="1" applyFont="1" applyFill="1" applyBorder="1" applyAlignment="1">
      <alignment horizontal="center" vertical="top" wrapText="1"/>
    </xf>
    <xf numFmtId="2" fontId="3" fillId="0" borderId="6" xfId="0" applyNumberFormat="1" applyFont="1" applyFill="1" applyBorder="1" applyAlignment="1">
      <alignment horizontal="center" vertical="top" wrapText="1"/>
    </xf>
    <xf numFmtId="2" fontId="44" fillId="3" borderId="6" xfId="0" applyNumberFormat="1" applyFont="1" applyFill="1" applyBorder="1" applyAlignment="1">
      <alignment horizontal="center" vertical="top" wrapText="1"/>
    </xf>
    <xf numFmtId="2" fontId="39" fillId="0" borderId="6" xfId="0" applyNumberFormat="1" applyFont="1" applyFill="1" applyBorder="1" applyAlignment="1">
      <alignment horizontal="center" vertical="top" wrapText="1"/>
    </xf>
    <xf numFmtId="2" fontId="44" fillId="0" borderId="6" xfId="0" applyNumberFormat="1" applyFont="1" applyFill="1" applyBorder="1" applyAlignment="1">
      <alignment horizontal="center" vertical="top" wrapText="1"/>
    </xf>
    <xf numFmtId="0" fontId="44" fillId="0" borderId="6" xfId="0" applyFont="1" applyFill="1" applyBorder="1" applyAlignment="1">
      <alignment horizontal="center" vertical="top" wrapText="1"/>
    </xf>
    <xf numFmtId="2" fontId="44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2" fillId="0" borderId="0" xfId="0" applyFont="1" applyFill="1" applyAlignment="1">
      <alignment horizontal="right"/>
    </xf>
    <xf numFmtId="0" fontId="13" fillId="0" borderId="0" xfId="0" applyFont="1" applyFill="1" applyBorder="1" applyAlignment="1">
      <alignment horizontal="right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top" wrapText="1"/>
    </xf>
    <xf numFmtId="0" fontId="27" fillId="0" borderId="6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vertical="top" wrapText="1"/>
    </xf>
    <xf numFmtId="0" fontId="13" fillId="0" borderId="6" xfId="0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13" fillId="0" borderId="6" xfId="0" applyNumberFormat="1" applyFont="1" applyFill="1" applyBorder="1" applyAlignment="1">
      <alignment horizontal="center" vertical="center" wrapText="1"/>
    </xf>
    <xf numFmtId="173" fontId="12" fillId="0" borderId="6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top" wrapText="1"/>
    </xf>
    <xf numFmtId="2" fontId="13" fillId="0" borderId="0" xfId="0" applyNumberFormat="1" applyFont="1" applyFill="1"/>
    <xf numFmtId="49" fontId="13" fillId="0" borderId="3" xfId="0" applyNumberFormat="1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vertical="top" wrapText="1"/>
    </xf>
    <xf numFmtId="0" fontId="13" fillId="0" borderId="8" xfId="0" applyFont="1" applyFill="1" applyBorder="1" applyAlignment="1">
      <alignment horizontal="center" vertical="center" wrapText="1"/>
    </xf>
    <xf numFmtId="166" fontId="46" fillId="0" borderId="8" xfId="0" applyNumberFormat="1" applyFont="1" applyFill="1" applyBorder="1" applyAlignment="1">
      <alignment horizontal="center" vertical="center" wrapText="1"/>
    </xf>
    <xf numFmtId="166" fontId="13" fillId="0" borderId="8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top" wrapText="1"/>
    </xf>
    <xf numFmtId="0" fontId="13" fillId="0" borderId="55" xfId="0" applyFont="1" applyFill="1" applyBorder="1" applyAlignment="1">
      <alignment vertical="top" wrapText="1"/>
    </xf>
    <xf numFmtId="0" fontId="13" fillId="0" borderId="55" xfId="0" applyFont="1" applyFill="1" applyBorder="1" applyAlignment="1">
      <alignment horizontal="center" vertical="center" wrapText="1"/>
    </xf>
    <xf numFmtId="166" fontId="12" fillId="0" borderId="55" xfId="0" applyNumberFormat="1" applyFont="1" applyFill="1" applyBorder="1" applyAlignment="1">
      <alignment horizontal="center" vertical="center" wrapText="1"/>
    </xf>
    <xf numFmtId="166" fontId="13" fillId="0" borderId="55" xfId="0" applyNumberFormat="1" applyFont="1" applyFill="1" applyBorder="1" applyAlignment="1">
      <alignment horizontal="center" vertical="center" wrapText="1"/>
    </xf>
    <xf numFmtId="166" fontId="13" fillId="0" borderId="16" xfId="0" applyNumberFormat="1" applyFont="1" applyFill="1" applyBorder="1" applyAlignment="1">
      <alignment horizontal="center" vertical="center" wrapText="1"/>
    </xf>
    <xf numFmtId="166" fontId="13" fillId="0" borderId="56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top" wrapText="1"/>
    </xf>
    <xf numFmtId="166" fontId="13" fillId="0" borderId="7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top" wrapText="1"/>
    </xf>
    <xf numFmtId="166" fontId="12" fillId="0" borderId="8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vertical="center" wrapText="1"/>
    </xf>
    <xf numFmtId="173" fontId="12" fillId="0" borderId="55" xfId="0" applyNumberFormat="1" applyFont="1" applyFill="1" applyBorder="1" applyAlignment="1">
      <alignment horizontal="center" vertical="center" wrapText="1"/>
    </xf>
    <xf numFmtId="173" fontId="13" fillId="0" borderId="58" xfId="0" applyNumberFormat="1" applyFont="1" applyFill="1" applyBorder="1" applyAlignment="1">
      <alignment horizontal="center" vertical="center" wrapText="1"/>
    </xf>
    <xf numFmtId="166" fontId="13" fillId="0" borderId="14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166" fontId="13" fillId="0" borderId="59" xfId="0" applyNumberFormat="1" applyFont="1" applyFill="1" applyBorder="1" applyAlignment="1">
      <alignment horizontal="center" vertical="center" wrapText="1"/>
    </xf>
    <xf numFmtId="166" fontId="13" fillId="0" borderId="60" xfId="0" applyNumberFormat="1" applyFont="1" applyFill="1" applyBorder="1" applyAlignment="1">
      <alignment horizontal="center" vertical="center" wrapText="1"/>
    </xf>
    <xf numFmtId="166" fontId="13" fillId="0" borderId="52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166" fontId="13" fillId="0" borderId="21" xfId="0" applyNumberFormat="1" applyFont="1" applyFill="1" applyBorder="1" applyAlignment="1">
      <alignment horizontal="center" vertical="center" wrapText="1"/>
    </xf>
    <xf numFmtId="166" fontId="13" fillId="0" borderId="58" xfId="0" applyNumberFormat="1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166" fontId="13" fillId="0" borderId="89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2" xfId="0" applyFont="1" applyFill="1" applyBorder="1"/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166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6" fillId="0" borderId="5" xfId="0" applyFont="1" applyBorder="1"/>
    <xf numFmtId="2" fontId="6" fillId="0" borderId="22" xfId="0" applyNumberFormat="1" applyFont="1" applyBorder="1"/>
    <xf numFmtId="0" fontId="47" fillId="0" borderId="0" xfId="0" applyFont="1"/>
    <xf numFmtId="166" fontId="47" fillId="0" borderId="0" xfId="0" applyNumberFormat="1" applyFont="1"/>
    <xf numFmtId="0" fontId="3" fillId="0" borderId="6" xfId="0" applyFont="1" applyFill="1" applyBorder="1" applyAlignment="1">
      <alignment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6" xfId="0" applyFont="1" applyFill="1" applyBorder="1" applyAlignment="1">
      <alignment wrapText="1"/>
    </xf>
    <xf numFmtId="49" fontId="44" fillId="0" borderId="7" xfId="0" applyNumberFormat="1" applyFont="1" applyFill="1" applyBorder="1" applyAlignment="1">
      <alignment horizontal="center" wrapText="1"/>
    </xf>
    <xf numFmtId="49" fontId="44" fillId="0" borderId="3" xfId="0" applyNumberFormat="1" applyFont="1" applyFill="1" applyBorder="1" applyAlignment="1">
      <alignment horizontal="center" wrapText="1"/>
    </xf>
    <xf numFmtId="49" fontId="44" fillId="0" borderId="4" xfId="0" applyNumberFormat="1" applyFont="1" applyFill="1" applyBorder="1" applyAlignment="1">
      <alignment horizontal="center" wrapText="1"/>
    </xf>
    <xf numFmtId="2" fontId="50" fillId="0" borderId="6" xfId="0" applyNumberFormat="1" applyFont="1" applyFill="1" applyBorder="1" applyAlignment="1">
      <alignment horizontal="center" vertical="top" wrapText="1"/>
    </xf>
    <xf numFmtId="0" fontId="50" fillId="0" borderId="6" xfId="0" applyFont="1" applyFill="1" applyBorder="1" applyAlignment="1">
      <alignment horizontal="center" vertical="top" wrapText="1"/>
    </xf>
    <xf numFmtId="0" fontId="50" fillId="0" borderId="8" xfId="0" applyFont="1" applyFill="1" applyBorder="1" applyAlignment="1">
      <alignment horizontal="center" vertical="top" wrapText="1"/>
    </xf>
    <xf numFmtId="2" fontId="50" fillId="0" borderId="9" xfId="0" applyNumberFormat="1" applyFont="1" applyFill="1" applyBorder="1" applyAlignment="1">
      <alignment horizontal="center" vertical="top" wrapText="1"/>
    </xf>
    <xf numFmtId="166" fontId="51" fillId="0" borderId="8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/>
    <xf numFmtId="0" fontId="5" fillId="0" borderId="22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horizontal="center" vertical="center"/>
    </xf>
    <xf numFmtId="0" fontId="18" fillId="0" borderId="0" xfId="0" applyFont="1"/>
    <xf numFmtId="166" fontId="18" fillId="0" borderId="0" xfId="0" applyNumberFormat="1" applyFont="1"/>
    <xf numFmtId="0" fontId="17" fillId="0" borderId="0" xfId="0" applyFont="1" applyBorder="1"/>
    <xf numFmtId="0" fontId="18" fillId="0" borderId="0" xfId="0" applyFont="1" applyBorder="1"/>
    <xf numFmtId="4" fontId="18" fillId="0" borderId="0" xfId="0" applyNumberFormat="1" applyFont="1" applyFill="1" applyBorder="1" applyAlignment="1">
      <alignment vertical="distributed"/>
    </xf>
    <xf numFmtId="0" fontId="18" fillId="0" borderId="0" xfId="0" applyFont="1" applyFill="1" applyBorder="1" applyAlignment="1">
      <alignment vertical="distributed"/>
    </xf>
    <xf numFmtId="166" fontId="18" fillId="0" borderId="0" xfId="0" applyNumberFormat="1" applyFont="1" applyFill="1" applyBorder="1" applyAlignment="1">
      <alignment horizontal="right" vertical="distributed"/>
    </xf>
    <xf numFmtId="0" fontId="21" fillId="0" borderId="0" xfId="0" applyFont="1"/>
    <xf numFmtId="166" fontId="21" fillId="0" borderId="0" xfId="0" applyNumberFormat="1" applyFont="1"/>
    <xf numFmtId="2" fontId="44" fillId="8" borderId="6" xfId="0" applyNumberFormat="1" applyFont="1" applyFill="1" applyBorder="1" applyAlignment="1">
      <alignment horizontal="center" vertical="top" wrapText="1"/>
    </xf>
    <xf numFmtId="2" fontId="39" fillId="8" borderId="6" xfId="0" applyNumberFormat="1" applyFont="1" applyFill="1" applyBorder="1" applyAlignment="1">
      <alignment horizontal="center" vertical="top" wrapText="1"/>
    </xf>
    <xf numFmtId="0" fontId="44" fillId="8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0" fillId="0" borderId="0" xfId="0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justify" wrapText="1"/>
    </xf>
    <xf numFmtId="0" fontId="15" fillId="0" borderId="0" xfId="0" applyFont="1" applyAlignment="1">
      <alignment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vertical="center" wrapText="1"/>
    </xf>
    <xf numFmtId="0" fontId="1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0" fillId="0" borderId="26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8" fillId="0" borderId="26" xfId="0" applyFont="1" applyBorder="1" applyAlignment="1">
      <alignment horizontal="right"/>
    </xf>
    <xf numFmtId="0" fontId="19" fillId="0" borderId="29" xfId="0" applyFont="1" applyBorder="1" applyAlignment="1">
      <alignment horizontal="right"/>
    </xf>
    <xf numFmtId="0" fontId="20" fillId="0" borderId="26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2" fillId="0" borderId="35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4" fillId="0" borderId="26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9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32" xfId="0" applyBorder="1" applyAlignment="1">
      <alignment vertical="center"/>
    </xf>
    <xf numFmtId="49" fontId="20" fillId="0" borderId="26" xfId="0" applyNumberFormat="1" applyFont="1" applyBorder="1" applyAlignment="1">
      <alignment horizontal="left" vertical="center" wrapText="1"/>
    </xf>
    <xf numFmtId="49" fontId="20" fillId="0" borderId="28" xfId="0" applyNumberFormat="1" applyFont="1" applyBorder="1" applyAlignment="1">
      <alignment horizontal="left" vertical="center" wrapText="1"/>
    </xf>
    <xf numFmtId="49" fontId="20" fillId="0" borderId="29" xfId="0" applyNumberFormat="1" applyFont="1" applyBorder="1" applyAlignment="1">
      <alignment horizontal="left" vertical="center" wrapText="1"/>
    </xf>
    <xf numFmtId="17" fontId="20" fillId="0" borderId="26" xfId="0" applyNumberFormat="1" applyFont="1" applyBorder="1" applyAlignment="1">
      <alignment horizontal="left" vertical="center" wrapText="1"/>
    </xf>
    <xf numFmtId="17" fontId="20" fillId="0" borderId="28" xfId="0" applyNumberFormat="1" applyFont="1" applyBorder="1" applyAlignment="1">
      <alignment horizontal="left" vertical="center" wrapText="1"/>
    </xf>
    <xf numFmtId="17" fontId="20" fillId="0" borderId="29" xfId="0" applyNumberFormat="1" applyFont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wrapText="1"/>
    </xf>
    <xf numFmtId="0" fontId="0" fillId="0" borderId="70" xfId="0" applyBorder="1" applyAlignment="1">
      <alignment horizontal="center" wrapText="1"/>
    </xf>
    <xf numFmtId="0" fontId="8" fillId="0" borderId="26" xfId="0" applyFont="1" applyBorder="1" applyAlignment="1">
      <alignment horizontal="left" vertical="center" wrapText="1"/>
    </xf>
    <xf numFmtId="0" fontId="0" fillId="0" borderId="28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2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0" fillId="0" borderId="28" xfId="0" applyBorder="1" applyAlignment="1">
      <alignment horizontal="left" vertical="center" wrapText="1"/>
    </xf>
    <xf numFmtId="0" fontId="27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71" fontId="19" fillId="0" borderId="24" xfId="0" applyNumberFormat="1" applyFont="1" applyBorder="1" applyAlignment="1">
      <alignment horizontal="center" vertical="center"/>
    </xf>
    <xf numFmtId="171" fontId="19" fillId="0" borderId="23" xfId="0" applyNumberFormat="1" applyFont="1" applyBorder="1" applyAlignment="1">
      <alignment horizontal="center" vertical="center"/>
    </xf>
    <xf numFmtId="171" fontId="19" fillId="0" borderId="32" xfId="0" applyNumberFormat="1" applyFont="1" applyBorder="1" applyAlignment="1">
      <alignment horizontal="center" vertical="center"/>
    </xf>
    <xf numFmtId="168" fontId="19" fillId="0" borderId="24" xfId="0" applyNumberFormat="1" applyFont="1" applyBorder="1" applyAlignment="1">
      <alignment horizontal="center" vertical="center"/>
    </xf>
    <xf numFmtId="168" fontId="19" fillId="0" borderId="23" xfId="0" applyNumberFormat="1" applyFont="1" applyBorder="1" applyAlignment="1">
      <alignment horizontal="center" vertical="center"/>
    </xf>
    <xf numFmtId="168" fontId="19" fillId="0" borderId="32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top"/>
    </xf>
    <xf numFmtId="0" fontId="19" fillId="0" borderId="23" xfId="0" applyFont="1" applyBorder="1" applyAlignment="1">
      <alignment horizontal="center" vertical="top"/>
    </xf>
    <xf numFmtId="0" fontId="19" fillId="0" borderId="32" xfId="0" applyFont="1" applyBorder="1" applyAlignment="1">
      <alignment horizontal="center" vertical="top"/>
    </xf>
    <xf numFmtId="0" fontId="0" fillId="0" borderId="23" xfId="0" applyBorder="1" applyAlignment="1"/>
    <xf numFmtId="0" fontId="0" fillId="0" borderId="32" xfId="0" applyBorder="1" applyAlignment="1"/>
    <xf numFmtId="0" fontId="19" fillId="0" borderId="2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" fontId="19" fillId="0" borderId="24" xfId="0" applyNumberFormat="1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1" fontId="19" fillId="0" borderId="32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right" vertical="center" wrapText="1"/>
    </xf>
    <xf numFmtId="0" fontId="19" fillId="0" borderId="31" xfId="0" applyFont="1" applyBorder="1" applyAlignment="1">
      <alignment horizontal="right" vertical="center" wrapText="1"/>
    </xf>
    <xf numFmtId="0" fontId="19" fillId="0" borderId="42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9" fillId="3" borderId="26" xfId="0" applyFont="1" applyFill="1" applyBorder="1" applyAlignment="1">
      <alignment vertical="center" wrapText="1"/>
    </xf>
    <xf numFmtId="0" fontId="19" fillId="3" borderId="29" xfId="0" applyFont="1" applyFill="1" applyBorder="1" applyAlignment="1">
      <alignment vertical="center" wrapText="1"/>
    </xf>
    <xf numFmtId="164" fontId="19" fillId="0" borderId="24" xfId="0" applyNumberFormat="1" applyFont="1" applyBorder="1" applyAlignment="1">
      <alignment horizontal="center" vertical="center"/>
    </xf>
    <xf numFmtId="164" fontId="19" fillId="0" borderId="23" xfId="0" applyNumberFormat="1" applyFont="1" applyBorder="1" applyAlignment="1">
      <alignment horizontal="center" vertical="center"/>
    </xf>
    <xf numFmtId="164" fontId="19" fillId="0" borderId="32" xfId="0" applyNumberFormat="1" applyFont="1" applyBorder="1" applyAlignment="1">
      <alignment horizontal="center" vertical="center"/>
    </xf>
    <xf numFmtId="2" fontId="19" fillId="0" borderId="42" xfId="0" applyNumberFormat="1" applyFont="1" applyBorder="1" applyAlignment="1">
      <alignment horizontal="center" vertical="center"/>
    </xf>
    <xf numFmtId="2" fontId="19" fillId="0" borderId="33" xfId="0" applyNumberFormat="1" applyFont="1" applyBorder="1" applyAlignment="1">
      <alignment horizontal="center" vertical="center"/>
    </xf>
    <xf numFmtId="2" fontId="19" fillId="0" borderId="34" xfId="0" applyNumberFormat="1" applyFont="1" applyBorder="1" applyAlignment="1">
      <alignment horizontal="center" vertical="center"/>
    </xf>
    <xf numFmtId="166" fontId="19" fillId="0" borderId="24" xfId="0" applyNumberFormat="1" applyFont="1" applyBorder="1" applyAlignment="1">
      <alignment horizontal="center" vertical="center"/>
    </xf>
    <xf numFmtId="166" fontId="19" fillId="0" borderId="23" xfId="0" applyNumberFormat="1" applyFont="1" applyBorder="1" applyAlignment="1">
      <alignment horizontal="center" vertical="center"/>
    </xf>
    <xf numFmtId="166" fontId="19" fillId="0" borderId="32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horizontal="left" vertical="top"/>
    </xf>
    <xf numFmtId="0" fontId="19" fillId="0" borderId="33" xfId="0" applyFont="1" applyBorder="1" applyAlignment="1">
      <alignment horizontal="left" vertical="top"/>
    </xf>
    <xf numFmtId="0" fontId="19" fillId="0" borderId="34" xfId="0" applyFont="1" applyBorder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0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 vertical="justify"/>
    </xf>
    <xf numFmtId="0" fontId="6" fillId="0" borderId="12" xfId="0" applyFont="1" applyBorder="1" applyAlignment="1">
      <alignment horizontal="center"/>
    </xf>
    <xf numFmtId="0" fontId="3" fillId="3" borderId="22" xfId="0" applyFont="1" applyFill="1" applyBorder="1" applyAlignment="1">
      <alignment wrapText="1"/>
    </xf>
    <xf numFmtId="0" fontId="0" fillId="0" borderId="22" xfId="0" applyBorder="1" applyAlignment="1">
      <alignment wrapText="1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52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wrapText="1"/>
    </xf>
    <xf numFmtId="0" fontId="49" fillId="0" borderId="0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wrapText="1"/>
    </xf>
    <xf numFmtId="0" fontId="1" fillId="0" borderId="1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justify" wrapText="1"/>
    </xf>
    <xf numFmtId="0" fontId="45" fillId="0" borderId="1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justify" wrapText="1"/>
    </xf>
    <xf numFmtId="0" fontId="7" fillId="0" borderId="0" xfId="0" applyFont="1" applyAlignment="1">
      <alignment horizontal="center" vertical="justify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40" fillId="0" borderId="26" xfId="0" applyFont="1" applyBorder="1" applyAlignment="1">
      <alignment horizontal="left"/>
    </xf>
    <xf numFmtId="0" fontId="40" fillId="0" borderId="29" xfId="0" applyFont="1" applyBorder="1" applyAlignment="1">
      <alignment horizontal="left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100;&#1082;&#1091;&#1083;&#1103;&#1094;&#1080;&#1103;_%20&#1090;&#1072;&#1088;&#1080;&#1092;%202020&#1087;&#1086;%20&#1090;&#1072;&#1073;&#1083;&#1080;&#1094;&#1072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100;&#1082;&#1091;&#1083;&#1103;&#1094;&#1080;&#1103;_%20&#1090;&#1072;&#1088;&#1080;&#1092;%202020&#1087;&#1086;%20&#1090;&#1072;&#1073;&#1083;&#1080;&#1094;&#1072;&#1084;%202411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ія_2019"/>
      <sheetName val="план відпуску"/>
      <sheetName val="доп110320  калькуляція_2019 (2)"/>
      <sheetName val="доп110320  кал по фак_2019 (3)"/>
      <sheetName val="тариф 1"/>
      <sheetName val="доп200320  ТЕ 1352,60"/>
      <sheetName val="доп240320  кал по фак_2019 (2)"/>
      <sheetName val="доп200320  кал по 2020"/>
      <sheetName val=" ТЕ новый на 2020 2021от 120820"/>
      <sheetName val=" ТЕ на 20 -21 по таб от 140820"/>
      <sheetName val=" ТЕ на 20 -21 по таб от 170820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F14">
            <v>3024799.2168000001</v>
          </cell>
        </row>
        <row r="15">
          <cell r="F15">
            <v>169639.45314591995</v>
          </cell>
        </row>
        <row r="18">
          <cell r="F18">
            <v>2475.2699999999995</v>
          </cell>
        </row>
        <row r="19">
          <cell r="F19">
            <v>24894.208333333336</v>
          </cell>
        </row>
        <row r="26">
          <cell r="F26">
            <v>247477.44</v>
          </cell>
        </row>
        <row r="27">
          <cell r="F27">
            <v>497.86</v>
          </cell>
        </row>
        <row r="30">
          <cell r="F30">
            <v>54554.565999999999</v>
          </cell>
        </row>
        <row r="31">
          <cell r="F31">
            <v>174999.93</v>
          </cell>
        </row>
        <row r="33">
          <cell r="F33">
            <v>36630.325000000004</v>
          </cell>
        </row>
        <row r="36">
          <cell r="F36">
            <v>116160</v>
          </cell>
        </row>
        <row r="39">
          <cell r="F39">
            <v>25555.200000000001</v>
          </cell>
        </row>
        <row r="42">
          <cell r="F42">
            <v>1615000</v>
          </cell>
        </row>
        <row r="65">
          <cell r="F65">
            <v>1043063.06</v>
          </cell>
        </row>
        <row r="67">
          <cell r="F67">
            <v>667500</v>
          </cell>
        </row>
        <row r="70">
          <cell r="F70">
            <v>146850</v>
          </cell>
        </row>
        <row r="105">
          <cell r="F105">
            <v>4300.5</v>
          </cell>
        </row>
        <row r="108">
          <cell r="F108">
            <v>33199.9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ія_2019"/>
      <sheetName val="план відпуску"/>
      <sheetName val="доп110320  калькуляція_2019 (2)"/>
      <sheetName val="доп110320  кал по фак_2019 (3)"/>
      <sheetName val="тариф 1"/>
      <sheetName val="доп200320  ТЕ 1352,60"/>
      <sheetName val="доп240320  кал по фак_2019 (2)"/>
      <sheetName val="доп200320  кал по 2020"/>
      <sheetName val=" ТЕ новый на 2020 2021от 120820"/>
      <sheetName val=" ТЕ на 20 -21 по таб от 140820"/>
      <sheetName val=" ТЕ на 20 -21 по таб от 2411202"/>
      <sheetName val=" ТЕ на 20 -21 по таб газ по ото"/>
      <sheetName val=" ТЕ на 20 -21 по таб от 301120"/>
      <sheetName val=" ТЕ на 20 -21 по таб от 311220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0">
          <cell r="F30">
            <v>55331.548800000004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B2:U32"/>
  <sheetViews>
    <sheetView topLeftCell="A5" workbookViewId="0">
      <selection activeCell="R13" sqref="R13"/>
    </sheetView>
  </sheetViews>
  <sheetFormatPr defaultRowHeight="12.75"/>
  <cols>
    <col min="1" max="1" width="1.140625" style="2" customWidth="1"/>
    <col min="2" max="2" width="40.85546875" style="2" customWidth="1"/>
    <col min="3" max="3" width="9.140625" style="2"/>
    <col min="4" max="4" width="9.7109375" style="2" customWidth="1"/>
    <col min="5" max="16" width="9.28515625" style="2" bestFit="1" customWidth="1"/>
    <col min="17" max="16384" width="9.140625" style="2"/>
  </cols>
  <sheetData>
    <row r="2" spans="2:21" ht="12.75" customHeight="1">
      <c r="B2" s="562" t="s">
        <v>741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</row>
    <row r="3" spans="2:21"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</row>
    <row r="4" spans="2:21" ht="12.75" customHeight="1">
      <c r="B4" s="563" t="s">
        <v>40</v>
      </c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</row>
    <row r="5" spans="2:21" ht="12.75" customHeight="1">
      <c r="B5" s="563" t="s">
        <v>740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</row>
    <row r="6" spans="2:21" ht="12.75" customHeight="1">
      <c r="B6" s="564" t="s">
        <v>42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</row>
    <row r="7" spans="2:21" ht="13.5" customHeight="1" thickBot="1">
      <c r="B7" s="561"/>
      <c r="C7" s="561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</row>
    <row r="8" spans="2:21" ht="35.25" customHeight="1" thickBot="1">
      <c r="B8" s="443" t="s">
        <v>739</v>
      </c>
      <c r="C8" s="444" t="s">
        <v>0</v>
      </c>
      <c r="D8" s="443" t="s">
        <v>738</v>
      </c>
      <c r="E8" s="442" t="s">
        <v>10</v>
      </c>
      <c r="F8" s="441" t="s">
        <v>11</v>
      </c>
      <c r="G8" s="441" t="s">
        <v>12</v>
      </c>
      <c r="H8" s="441" t="s">
        <v>13</v>
      </c>
      <c r="I8" s="441" t="s">
        <v>14</v>
      </c>
      <c r="J8" s="441" t="s">
        <v>15</v>
      </c>
      <c r="K8" s="441" t="s">
        <v>16</v>
      </c>
      <c r="L8" s="441" t="s">
        <v>17</v>
      </c>
      <c r="M8" s="441" t="s">
        <v>18</v>
      </c>
      <c r="N8" s="441" t="s">
        <v>19</v>
      </c>
      <c r="O8" s="441" t="s">
        <v>20</v>
      </c>
      <c r="P8" s="440" t="s">
        <v>21</v>
      </c>
    </row>
    <row r="9" spans="2:21" ht="13.5" thickBot="1">
      <c r="B9" s="439">
        <v>1</v>
      </c>
      <c r="C9" s="438">
        <v>2</v>
      </c>
      <c r="D9" s="437">
        <v>3</v>
      </c>
      <c r="E9" s="436">
        <v>4</v>
      </c>
      <c r="F9" s="435">
        <v>5</v>
      </c>
      <c r="G9" s="435">
        <v>6</v>
      </c>
      <c r="H9" s="435">
        <v>7</v>
      </c>
      <c r="I9" s="435">
        <v>8</v>
      </c>
      <c r="J9" s="435">
        <v>9</v>
      </c>
      <c r="K9" s="435">
        <v>10</v>
      </c>
      <c r="L9" s="435">
        <v>11</v>
      </c>
      <c r="M9" s="435">
        <v>12</v>
      </c>
      <c r="N9" s="435">
        <v>13</v>
      </c>
      <c r="O9" s="435">
        <v>14</v>
      </c>
      <c r="P9" s="434">
        <v>15</v>
      </c>
    </row>
    <row r="10" spans="2:21" ht="36.75" customHeight="1">
      <c r="B10" s="433" t="s">
        <v>737</v>
      </c>
      <c r="C10" s="432" t="s">
        <v>22</v>
      </c>
      <c r="D10" s="428">
        <f>SUM(E10:P10)</f>
        <v>3216.1500000000005</v>
      </c>
      <c r="E10" s="431">
        <f>733.72+16.5</f>
        <v>750.22</v>
      </c>
      <c r="F10" s="430">
        <f>682.96+15.36</f>
        <v>698.32</v>
      </c>
      <c r="G10" s="430">
        <f>576.19+12.96</f>
        <v>589.15000000000009</v>
      </c>
      <c r="H10" s="430">
        <v>0</v>
      </c>
      <c r="I10" s="430">
        <v>0</v>
      </c>
      <c r="J10" s="430">
        <v>0</v>
      </c>
      <c r="K10" s="430">
        <v>0</v>
      </c>
      <c r="L10" s="430">
        <v>0</v>
      </c>
      <c r="M10" s="430">
        <v>0</v>
      </c>
      <c r="N10" s="430">
        <v>0</v>
      </c>
      <c r="O10" s="430">
        <f>576.09+12.96</f>
        <v>589.05000000000007</v>
      </c>
      <c r="P10" s="429">
        <f>576.44+12.97</f>
        <v>589.41000000000008</v>
      </c>
      <c r="T10" s="371" t="s">
        <v>736</v>
      </c>
      <c r="U10" s="371"/>
    </row>
    <row r="11" spans="2:21" ht="28.5" customHeight="1">
      <c r="B11" s="422" t="s">
        <v>735</v>
      </c>
      <c r="C11" s="421" t="s">
        <v>734</v>
      </c>
      <c r="D11" s="428">
        <f>SUM(E11:P11)</f>
        <v>118.09999999999998</v>
      </c>
      <c r="E11" s="425">
        <v>19.7</v>
      </c>
      <c r="F11" s="424">
        <v>19.7</v>
      </c>
      <c r="G11" s="424">
        <v>19.7</v>
      </c>
      <c r="H11" s="424">
        <v>2.8</v>
      </c>
      <c r="I11" s="424">
        <v>2.8</v>
      </c>
      <c r="J11" s="424">
        <v>2.8</v>
      </c>
      <c r="K11" s="424">
        <v>2.8</v>
      </c>
      <c r="L11" s="424">
        <v>2.8</v>
      </c>
      <c r="M11" s="424">
        <v>2.8</v>
      </c>
      <c r="N11" s="424">
        <v>2.8</v>
      </c>
      <c r="O11" s="424">
        <v>19.7</v>
      </c>
      <c r="P11" s="423">
        <v>19.7</v>
      </c>
    </row>
    <row r="12" spans="2:21" ht="32.25" customHeight="1">
      <c r="B12" s="422" t="s">
        <v>733</v>
      </c>
      <c r="C12" s="421" t="s">
        <v>728</v>
      </c>
      <c r="D12" s="428">
        <f>SUM(E12:P12)</f>
        <v>63.358155000000011</v>
      </c>
      <c r="E12" s="425">
        <f t="shared" ref="E12:P12" si="0">E10*E11/1000</f>
        <v>14.779334</v>
      </c>
      <c r="F12" s="425">
        <f t="shared" si="0"/>
        <v>13.756904</v>
      </c>
      <c r="G12" s="425">
        <f t="shared" si="0"/>
        <v>11.606255000000001</v>
      </c>
      <c r="H12" s="425">
        <f t="shared" si="0"/>
        <v>0</v>
      </c>
      <c r="I12" s="425">
        <f t="shared" si="0"/>
        <v>0</v>
      </c>
      <c r="J12" s="425">
        <f t="shared" si="0"/>
        <v>0</v>
      </c>
      <c r="K12" s="425">
        <f t="shared" si="0"/>
        <v>0</v>
      </c>
      <c r="L12" s="425">
        <f t="shared" si="0"/>
        <v>0</v>
      </c>
      <c r="M12" s="425">
        <f t="shared" si="0"/>
        <v>0</v>
      </c>
      <c r="N12" s="425">
        <f t="shared" si="0"/>
        <v>0</v>
      </c>
      <c r="O12" s="425">
        <f t="shared" si="0"/>
        <v>11.604285000000001</v>
      </c>
      <c r="P12" s="425">
        <f t="shared" si="0"/>
        <v>11.611377000000001</v>
      </c>
    </row>
    <row r="13" spans="2:21" ht="36" customHeight="1">
      <c r="B13" s="422" t="s">
        <v>732</v>
      </c>
      <c r="C13" s="421" t="s">
        <v>728</v>
      </c>
      <c r="D13" s="428">
        <f>SUM(E13:P13)</f>
        <v>63.358155000000011</v>
      </c>
      <c r="E13" s="425">
        <f t="shared" ref="E13:P13" si="1">E12</f>
        <v>14.779334</v>
      </c>
      <c r="F13" s="424">
        <f t="shared" si="1"/>
        <v>13.756904</v>
      </c>
      <c r="G13" s="424">
        <f t="shared" si="1"/>
        <v>11.606255000000001</v>
      </c>
      <c r="H13" s="424">
        <f t="shared" si="1"/>
        <v>0</v>
      </c>
      <c r="I13" s="424">
        <f t="shared" si="1"/>
        <v>0</v>
      </c>
      <c r="J13" s="424">
        <f t="shared" si="1"/>
        <v>0</v>
      </c>
      <c r="K13" s="424">
        <f t="shared" si="1"/>
        <v>0</v>
      </c>
      <c r="L13" s="424">
        <f t="shared" si="1"/>
        <v>0</v>
      </c>
      <c r="M13" s="424">
        <f t="shared" si="1"/>
        <v>0</v>
      </c>
      <c r="N13" s="424">
        <f t="shared" si="1"/>
        <v>0</v>
      </c>
      <c r="O13" s="424">
        <f t="shared" si="1"/>
        <v>11.604285000000001</v>
      </c>
      <c r="P13" s="423">
        <f t="shared" si="1"/>
        <v>11.611377000000001</v>
      </c>
    </row>
    <row r="14" spans="2:21" ht="25.5">
      <c r="B14" s="422" t="s">
        <v>731</v>
      </c>
      <c r="C14" s="421" t="s">
        <v>726</v>
      </c>
      <c r="D14" s="428">
        <v>267.74599999999998</v>
      </c>
      <c r="E14" s="425">
        <v>267.75</v>
      </c>
      <c r="F14" s="424">
        <v>267.75</v>
      </c>
      <c r="G14" s="424">
        <v>267.75</v>
      </c>
      <c r="H14" s="424">
        <v>267.75</v>
      </c>
      <c r="I14" s="424">
        <v>267.75</v>
      </c>
      <c r="J14" s="424">
        <v>267.75</v>
      </c>
      <c r="K14" s="424">
        <v>267.75</v>
      </c>
      <c r="L14" s="424">
        <v>267.75</v>
      </c>
      <c r="M14" s="424">
        <v>267.75</v>
      </c>
      <c r="N14" s="424">
        <v>267.75</v>
      </c>
      <c r="O14" s="424">
        <v>267.75</v>
      </c>
      <c r="P14" s="423">
        <v>267.75</v>
      </c>
    </row>
    <row r="15" spans="2:21" ht="21" customHeight="1">
      <c r="B15" s="422" t="s">
        <v>730</v>
      </c>
      <c r="C15" s="421" t="s">
        <v>53</v>
      </c>
      <c r="D15" s="428">
        <f>SUM(E15:P15)</f>
        <v>169.64086883914001</v>
      </c>
      <c r="E15" s="425">
        <f t="shared" ref="E15:P15" si="2">E12*D14/100</f>
        <v>39.571075611639998</v>
      </c>
      <c r="F15" s="425">
        <f t="shared" si="2"/>
        <v>36.834110460000005</v>
      </c>
      <c r="G15" s="425">
        <f t="shared" si="2"/>
        <v>31.075747762500001</v>
      </c>
      <c r="H15" s="425">
        <f t="shared" si="2"/>
        <v>0</v>
      </c>
      <c r="I15" s="425">
        <f t="shared" si="2"/>
        <v>0</v>
      </c>
      <c r="J15" s="425">
        <f t="shared" si="2"/>
        <v>0</v>
      </c>
      <c r="K15" s="425">
        <f t="shared" si="2"/>
        <v>0</v>
      </c>
      <c r="L15" s="425">
        <f t="shared" si="2"/>
        <v>0</v>
      </c>
      <c r="M15" s="425">
        <f t="shared" si="2"/>
        <v>0</v>
      </c>
      <c r="N15" s="425">
        <f t="shared" si="2"/>
        <v>0</v>
      </c>
      <c r="O15" s="425">
        <f t="shared" si="2"/>
        <v>31.070473087500005</v>
      </c>
      <c r="P15" s="425">
        <f t="shared" si="2"/>
        <v>31.089461917500003</v>
      </c>
      <c r="S15" s="427" t="s">
        <v>700</v>
      </c>
      <c r="T15" s="427">
        <v>332.13</v>
      </c>
    </row>
    <row r="16" spans="2:21" ht="25.5">
      <c r="B16" s="422" t="s">
        <v>729</v>
      </c>
      <c r="C16" s="421" t="s">
        <v>728</v>
      </c>
      <c r="D16" s="426" t="s">
        <v>24</v>
      </c>
      <c r="E16" s="425" t="s">
        <v>24</v>
      </c>
      <c r="F16" s="424" t="s">
        <v>24</v>
      </c>
      <c r="G16" s="424" t="s">
        <v>24</v>
      </c>
      <c r="H16" s="424" t="s">
        <v>24</v>
      </c>
      <c r="I16" s="424" t="s">
        <v>24</v>
      </c>
      <c r="J16" s="424" t="s">
        <v>24</v>
      </c>
      <c r="K16" s="424" t="s">
        <v>24</v>
      </c>
      <c r="L16" s="424" t="s">
        <v>24</v>
      </c>
      <c r="M16" s="424" t="s">
        <v>24</v>
      </c>
      <c r="N16" s="424" t="s">
        <v>24</v>
      </c>
      <c r="O16" s="424" t="s">
        <v>24</v>
      </c>
      <c r="P16" s="423" t="s">
        <v>24</v>
      </c>
    </row>
    <row r="17" spans="2:16" ht="25.5">
      <c r="B17" s="422" t="s">
        <v>727</v>
      </c>
      <c r="C17" s="421" t="s">
        <v>726</v>
      </c>
      <c r="D17" s="426" t="s">
        <v>24</v>
      </c>
      <c r="E17" s="425" t="s">
        <v>24</v>
      </c>
      <c r="F17" s="424" t="s">
        <v>24</v>
      </c>
      <c r="G17" s="424" t="s">
        <v>24</v>
      </c>
      <c r="H17" s="424" t="s">
        <v>24</v>
      </c>
      <c r="I17" s="424" t="s">
        <v>24</v>
      </c>
      <c r="J17" s="424" t="s">
        <v>24</v>
      </c>
      <c r="K17" s="424" t="s">
        <v>24</v>
      </c>
      <c r="L17" s="424" t="s">
        <v>24</v>
      </c>
      <c r="M17" s="424" t="s">
        <v>24</v>
      </c>
      <c r="N17" s="424" t="s">
        <v>24</v>
      </c>
      <c r="O17" s="424" t="s">
        <v>24</v>
      </c>
      <c r="P17" s="423" t="s">
        <v>24</v>
      </c>
    </row>
    <row r="18" spans="2:16">
      <c r="B18" s="422" t="s">
        <v>725</v>
      </c>
      <c r="C18" s="421" t="s">
        <v>53</v>
      </c>
      <c r="D18" s="426" t="s">
        <v>24</v>
      </c>
      <c r="E18" s="425" t="s">
        <v>24</v>
      </c>
      <c r="F18" s="424" t="s">
        <v>24</v>
      </c>
      <c r="G18" s="424" t="s">
        <v>24</v>
      </c>
      <c r="H18" s="424" t="s">
        <v>24</v>
      </c>
      <c r="I18" s="424" t="s">
        <v>24</v>
      </c>
      <c r="J18" s="424" t="s">
        <v>24</v>
      </c>
      <c r="K18" s="424" t="s">
        <v>24</v>
      </c>
      <c r="L18" s="424" t="s">
        <v>24</v>
      </c>
      <c r="M18" s="424" t="s">
        <v>24</v>
      </c>
      <c r="N18" s="424" t="s">
        <v>24</v>
      </c>
      <c r="O18" s="424" t="s">
        <v>24</v>
      </c>
      <c r="P18" s="423" t="s">
        <v>24</v>
      </c>
    </row>
    <row r="19" spans="2:16" ht="30.75" customHeight="1">
      <c r="B19" s="422" t="s">
        <v>724</v>
      </c>
      <c r="C19" s="421" t="s">
        <v>53</v>
      </c>
      <c r="D19" s="426">
        <f>E19+F19+G19+H19+I19+J19+K19+L19+M19+N19+O19+P19</f>
        <v>169.64086883914001</v>
      </c>
      <c r="E19" s="425">
        <f t="shared" ref="E19:P19" si="3">E15</f>
        <v>39.571075611639998</v>
      </c>
      <c r="F19" s="424">
        <f t="shared" si="3"/>
        <v>36.834110460000005</v>
      </c>
      <c r="G19" s="424">
        <f t="shared" si="3"/>
        <v>31.075747762500001</v>
      </c>
      <c r="H19" s="424">
        <f t="shared" si="3"/>
        <v>0</v>
      </c>
      <c r="I19" s="424">
        <f t="shared" si="3"/>
        <v>0</v>
      </c>
      <c r="J19" s="424">
        <f t="shared" si="3"/>
        <v>0</v>
      </c>
      <c r="K19" s="424">
        <f t="shared" si="3"/>
        <v>0</v>
      </c>
      <c r="L19" s="424">
        <f t="shared" si="3"/>
        <v>0</v>
      </c>
      <c r="M19" s="424">
        <f t="shared" si="3"/>
        <v>0</v>
      </c>
      <c r="N19" s="424">
        <f t="shared" si="3"/>
        <v>0</v>
      </c>
      <c r="O19" s="424">
        <f t="shared" si="3"/>
        <v>31.070473087500005</v>
      </c>
      <c r="P19" s="423">
        <f t="shared" si="3"/>
        <v>31.089461917500003</v>
      </c>
    </row>
    <row r="20" spans="2:16" ht="39" customHeight="1">
      <c r="B20" s="422" t="s">
        <v>723</v>
      </c>
      <c r="C20" s="421" t="s">
        <v>722</v>
      </c>
      <c r="D20" s="420" t="s">
        <v>24</v>
      </c>
      <c r="E20" s="419" t="s">
        <v>24</v>
      </c>
      <c r="F20" s="418" t="s">
        <v>24</v>
      </c>
      <c r="G20" s="418" t="s">
        <v>24</v>
      </c>
      <c r="H20" s="418" t="s">
        <v>24</v>
      </c>
      <c r="I20" s="418" t="s">
        <v>24</v>
      </c>
      <c r="J20" s="418" t="s">
        <v>24</v>
      </c>
      <c r="K20" s="418" t="s">
        <v>24</v>
      </c>
      <c r="L20" s="418" t="s">
        <v>24</v>
      </c>
      <c r="M20" s="418" t="s">
        <v>24</v>
      </c>
      <c r="N20" s="418" t="s">
        <v>24</v>
      </c>
      <c r="O20" s="418" t="s">
        <v>24</v>
      </c>
      <c r="P20" s="417" t="s">
        <v>24</v>
      </c>
    </row>
    <row r="21" spans="2:16" ht="31.5" customHeight="1">
      <c r="B21" s="422" t="s">
        <v>721</v>
      </c>
      <c r="C21" s="421" t="s">
        <v>720</v>
      </c>
      <c r="D21" s="420" t="s">
        <v>24</v>
      </c>
      <c r="E21" s="419" t="s">
        <v>24</v>
      </c>
      <c r="F21" s="418" t="s">
        <v>24</v>
      </c>
      <c r="G21" s="418" t="s">
        <v>24</v>
      </c>
      <c r="H21" s="418" t="s">
        <v>24</v>
      </c>
      <c r="I21" s="418" t="s">
        <v>24</v>
      </c>
      <c r="J21" s="418" t="s">
        <v>24</v>
      </c>
      <c r="K21" s="418" t="s">
        <v>24</v>
      </c>
      <c r="L21" s="418" t="s">
        <v>24</v>
      </c>
      <c r="M21" s="418" t="s">
        <v>24</v>
      </c>
      <c r="N21" s="418" t="s">
        <v>24</v>
      </c>
      <c r="O21" s="418" t="s">
        <v>24</v>
      </c>
      <c r="P21" s="417" t="s">
        <v>24</v>
      </c>
    </row>
    <row r="22" spans="2:16" ht="16.5" customHeight="1">
      <c r="B22" s="422" t="s">
        <v>719</v>
      </c>
      <c r="C22" s="421" t="s">
        <v>718</v>
      </c>
      <c r="D22" s="420" t="s">
        <v>24</v>
      </c>
      <c r="E22" s="419" t="s">
        <v>24</v>
      </c>
      <c r="F22" s="418" t="s">
        <v>24</v>
      </c>
      <c r="G22" s="418" t="s">
        <v>24</v>
      </c>
      <c r="H22" s="418" t="s">
        <v>24</v>
      </c>
      <c r="I22" s="418" t="s">
        <v>24</v>
      </c>
      <c r="J22" s="418" t="s">
        <v>24</v>
      </c>
      <c r="K22" s="418" t="s">
        <v>24</v>
      </c>
      <c r="L22" s="418" t="s">
        <v>24</v>
      </c>
      <c r="M22" s="418" t="s">
        <v>24</v>
      </c>
      <c r="N22" s="418" t="s">
        <v>24</v>
      </c>
      <c r="O22" s="418" t="s">
        <v>24</v>
      </c>
      <c r="P22" s="417" t="s">
        <v>24</v>
      </c>
    </row>
    <row r="23" spans="2:16" ht="30" customHeight="1" thickBot="1">
      <c r="B23" s="416" t="s">
        <v>717</v>
      </c>
      <c r="C23" s="415" t="s">
        <v>53</v>
      </c>
      <c r="D23" s="414">
        <f>E23+F23+G23+H23+I23+J23+K23+L23+M23+N23+O23+P23</f>
        <v>169.64086883914001</v>
      </c>
      <c r="E23" s="413">
        <f t="shared" ref="E23:P23" si="4">E19</f>
        <v>39.571075611639998</v>
      </c>
      <c r="F23" s="412">
        <f t="shared" si="4"/>
        <v>36.834110460000005</v>
      </c>
      <c r="G23" s="412">
        <f t="shared" si="4"/>
        <v>31.075747762500001</v>
      </c>
      <c r="H23" s="412">
        <f t="shared" si="4"/>
        <v>0</v>
      </c>
      <c r="I23" s="412">
        <f t="shared" si="4"/>
        <v>0</v>
      </c>
      <c r="J23" s="412">
        <f t="shared" si="4"/>
        <v>0</v>
      </c>
      <c r="K23" s="412">
        <f t="shared" si="4"/>
        <v>0</v>
      </c>
      <c r="L23" s="412">
        <f t="shared" si="4"/>
        <v>0</v>
      </c>
      <c r="M23" s="412">
        <f t="shared" si="4"/>
        <v>0</v>
      </c>
      <c r="N23" s="412">
        <f t="shared" si="4"/>
        <v>0</v>
      </c>
      <c r="O23" s="412">
        <f t="shared" si="4"/>
        <v>31.070473087500005</v>
      </c>
      <c r="P23" s="412">
        <f t="shared" si="4"/>
        <v>31.089461917500003</v>
      </c>
    </row>
    <row r="24" spans="2:16"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</row>
    <row r="25" spans="2:16">
      <c r="B25" s="558"/>
      <c r="C25" s="558"/>
      <c r="D25" s="558"/>
      <c r="E25" s="558"/>
      <c r="F25" s="558"/>
      <c r="G25" s="558"/>
      <c r="H25" s="558"/>
      <c r="I25" s="558"/>
      <c r="J25" s="558"/>
      <c r="K25" s="558"/>
      <c r="L25" s="558"/>
      <c r="M25" s="558"/>
      <c r="N25" s="558"/>
      <c r="O25" s="558"/>
      <c r="P25" s="558"/>
    </row>
    <row r="26" spans="2:16" ht="12.75" customHeight="1">
      <c r="B26" s="559" t="s">
        <v>333</v>
      </c>
      <c r="C26" s="559"/>
      <c r="D26" s="559"/>
      <c r="E26" s="559"/>
      <c r="F26" s="559"/>
      <c r="G26" s="559"/>
      <c r="H26" s="559"/>
      <c r="I26" s="559"/>
      <c r="J26" s="559"/>
      <c r="K26" s="559"/>
      <c r="L26" s="559"/>
      <c r="M26" s="559"/>
      <c r="N26" s="559"/>
      <c r="O26" s="559"/>
      <c r="P26" s="559"/>
    </row>
    <row r="27" spans="2:16">
      <c r="B27" s="560"/>
      <c r="C27" s="560"/>
      <c r="D27" s="560"/>
      <c r="E27" s="560"/>
      <c r="F27" s="560"/>
      <c r="G27" s="560"/>
      <c r="H27" s="560"/>
      <c r="I27" s="560"/>
      <c r="J27" s="560"/>
      <c r="K27" s="560"/>
      <c r="L27" s="560"/>
      <c r="M27" s="560"/>
      <c r="N27" s="560"/>
      <c r="O27" s="560"/>
      <c r="P27" s="560"/>
    </row>
    <row r="28" spans="2:16" ht="12.75" customHeight="1">
      <c r="B28" s="556" t="s">
        <v>6</v>
      </c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  <c r="O28" s="556"/>
      <c r="P28" s="556"/>
    </row>
    <row r="29" spans="2:16">
      <c r="B29" s="558"/>
      <c r="C29" s="558"/>
      <c r="D29" s="558"/>
      <c r="E29" s="558"/>
      <c r="F29" s="558"/>
      <c r="G29" s="558"/>
      <c r="H29" s="558"/>
      <c r="I29" s="558"/>
      <c r="J29" s="558"/>
      <c r="K29" s="558"/>
      <c r="L29" s="558"/>
      <c r="M29" s="558"/>
      <c r="N29" s="558"/>
      <c r="O29" s="558"/>
      <c r="P29" s="558"/>
    </row>
    <row r="30" spans="2:16">
      <c r="B30" s="556"/>
      <c r="C30" s="556"/>
      <c r="D30" s="556"/>
      <c r="E30" s="556"/>
      <c r="F30" s="556"/>
      <c r="G30" s="556"/>
      <c r="H30" s="556"/>
      <c r="I30" s="556"/>
      <c r="J30" s="556"/>
      <c r="K30" s="556"/>
      <c r="L30" s="556"/>
      <c r="M30" s="556"/>
      <c r="N30" s="556"/>
      <c r="O30" s="556"/>
      <c r="P30" s="556"/>
    </row>
    <row r="31" spans="2:16">
      <c r="B31" s="557"/>
      <c r="C31" s="557"/>
      <c r="D31" s="557"/>
      <c r="E31" s="557"/>
      <c r="F31" s="557"/>
      <c r="G31" s="557"/>
      <c r="H31" s="557"/>
      <c r="I31" s="557"/>
      <c r="J31" s="557"/>
      <c r="K31" s="557"/>
      <c r="L31" s="557"/>
      <c r="M31" s="557"/>
      <c r="N31" s="557"/>
      <c r="O31" s="557"/>
      <c r="P31" s="557"/>
    </row>
    <row r="32" spans="2:16">
      <c r="B32" s="557"/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</row>
  </sheetData>
  <mergeCells count="15">
    <mergeCell ref="B7:P7"/>
    <mergeCell ref="B2:P2"/>
    <mergeCell ref="B3:P3"/>
    <mergeCell ref="B4:P4"/>
    <mergeCell ref="B5:P5"/>
    <mergeCell ref="B6:P6"/>
    <mergeCell ref="B30:P30"/>
    <mergeCell ref="B31:P31"/>
    <mergeCell ref="B32:P32"/>
    <mergeCell ref="B24:P24"/>
    <mergeCell ref="B25:P25"/>
    <mergeCell ref="B26:P26"/>
    <mergeCell ref="B27:P27"/>
    <mergeCell ref="B28:P28"/>
    <mergeCell ref="B29:P29"/>
  </mergeCells>
  <pageMargins left="0.7" right="0.7" top="0.75" bottom="0.75" header="0.3" footer="0.3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B1:N51"/>
  <sheetViews>
    <sheetView zoomScale="80" zoomScaleNormal="80" workbookViewId="0">
      <pane ySplit="5" topLeftCell="A6" activePane="bottomLeft" state="frozen"/>
      <selection activeCell="A51" sqref="A1:L51"/>
      <selection pane="bottomLeft" activeCell="A51" sqref="A1:L51"/>
    </sheetView>
  </sheetViews>
  <sheetFormatPr defaultRowHeight="12.75"/>
  <cols>
    <col min="1" max="1" width="1.42578125" customWidth="1"/>
    <col min="2" max="2" width="3.7109375" customWidth="1"/>
    <col min="3" max="3" width="3.140625" customWidth="1"/>
    <col min="4" max="4" width="66.140625" customWidth="1"/>
    <col min="5" max="5" width="12.42578125" customWidth="1"/>
    <col min="6" max="6" width="7.42578125" customWidth="1"/>
    <col min="7" max="7" width="11" bestFit="1" customWidth="1"/>
    <col min="8" max="8" width="9.42578125" customWidth="1"/>
    <col min="9" max="9" width="12.5703125" customWidth="1"/>
    <col min="10" max="10" width="13.85546875" customWidth="1"/>
    <col min="11" max="11" width="9.7109375" style="23" customWidth="1"/>
    <col min="12" max="12" width="12.28515625" customWidth="1"/>
    <col min="13" max="14" width="0" hidden="1" customWidth="1"/>
    <col min="16" max="16" width="12.28515625" bestFit="1" customWidth="1"/>
  </cols>
  <sheetData>
    <row r="1" spans="2:12" ht="16.5" customHeight="1">
      <c r="J1" s="50"/>
      <c r="L1" s="50"/>
    </row>
    <row r="2" spans="2:12" ht="9" customHeight="1"/>
    <row r="3" spans="2:12" ht="25.5" customHeight="1">
      <c r="B3" s="573" t="s">
        <v>760</v>
      </c>
      <c r="C3" s="573"/>
      <c r="D3" s="573"/>
      <c r="E3" s="574"/>
      <c r="F3" s="574"/>
      <c r="G3" s="574"/>
      <c r="H3" s="574"/>
      <c r="I3" s="574"/>
      <c r="J3" s="574"/>
      <c r="K3" s="574"/>
      <c r="L3" s="574"/>
    </row>
    <row r="4" spans="2:12" ht="5.25" customHeight="1"/>
    <row r="5" spans="2:12" ht="66" customHeight="1">
      <c r="B5" s="154" t="s">
        <v>7</v>
      </c>
      <c r="C5" s="641" t="s">
        <v>257</v>
      </c>
      <c r="D5" s="642"/>
      <c r="E5" s="154" t="s">
        <v>421</v>
      </c>
      <c r="F5" s="154" t="s">
        <v>309</v>
      </c>
      <c r="G5" s="154" t="s">
        <v>422</v>
      </c>
      <c r="H5" s="154" t="s">
        <v>415</v>
      </c>
      <c r="I5" s="154" t="s">
        <v>423</v>
      </c>
      <c r="J5" s="154" t="s">
        <v>659</v>
      </c>
      <c r="K5" s="331" t="s">
        <v>658</v>
      </c>
      <c r="L5" s="154" t="s">
        <v>310</v>
      </c>
    </row>
    <row r="6" spans="2:12" ht="45" customHeight="1">
      <c r="B6" s="630">
        <v>1</v>
      </c>
      <c r="C6" s="645" t="s">
        <v>763</v>
      </c>
      <c r="D6" s="646"/>
      <c r="E6" s="627">
        <v>26.4</v>
      </c>
      <c r="F6" s="635">
        <v>21</v>
      </c>
      <c r="G6" s="624">
        <f>E6*F6</f>
        <v>554.4</v>
      </c>
      <c r="H6" s="638">
        <v>6</v>
      </c>
      <c r="I6" s="624">
        <f>G6*H6</f>
        <v>3326.3999999999996</v>
      </c>
      <c r="J6" s="651">
        <f>I6/100*9</f>
        <v>299.37599999999998</v>
      </c>
      <c r="K6" s="654">
        <f>21.9/1.2</f>
        <v>18.25</v>
      </c>
      <c r="L6" s="657">
        <f>J6*K6</f>
        <v>5463.6119999999992</v>
      </c>
    </row>
    <row r="7" spans="2:12" ht="33.75" customHeight="1">
      <c r="B7" s="631"/>
      <c r="C7" s="151">
        <v>1</v>
      </c>
      <c r="D7" s="149" t="s">
        <v>410</v>
      </c>
      <c r="E7" s="628"/>
      <c r="F7" s="636"/>
      <c r="G7" s="625"/>
      <c r="H7" s="639"/>
      <c r="I7" s="625"/>
      <c r="J7" s="652"/>
      <c r="K7" s="655"/>
      <c r="L7" s="658"/>
    </row>
    <row r="8" spans="2:12" ht="30" customHeight="1">
      <c r="B8" s="631"/>
      <c r="C8" s="151">
        <v>2</v>
      </c>
      <c r="D8" s="149" t="s">
        <v>411</v>
      </c>
      <c r="E8" s="628"/>
      <c r="F8" s="636"/>
      <c r="G8" s="625"/>
      <c r="H8" s="639"/>
      <c r="I8" s="625"/>
      <c r="J8" s="652"/>
      <c r="K8" s="655"/>
      <c r="L8" s="658"/>
    </row>
    <row r="9" spans="2:12" ht="32.25" customHeight="1">
      <c r="B9" s="631"/>
      <c r="C9" s="151">
        <v>3</v>
      </c>
      <c r="D9" s="149" t="s">
        <v>412</v>
      </c>
      <c r="E9" s="628"/>
      <c r="F9" s="636"/>
      <c r="G9" s="625"/>
      <c r="H9" s="639"/>
      <c r="I9" s="625"/>
      <c r="J9" s="652"/>
      <c r="K9" s="655"/>
      <c r="L9" s="658"/>
    </row>
    <row r="10" spans="2:12" ht="28.5" customHeight="1">
      <c r="B10" s="631"/>
      <c r="C10" s="151">
        <v>4</v>
      </c>
      <c r="D10" s="149" t="s">
        <v>413</v>
      </c>
      <c r="E10" s="628"/>
      <c r="F10" s="636"/>
      <c r="G10" s="625"/>
      <c r="H10" s="639"/>
      <c r="I10" s="625"/>
      <c r="J10" s="652"/>
      <c r="K10" s="655"/>
      <c r="L10" s="658"/>
    </row>
    <row r="11" spans="2:12" ht="30" customHeight="1">
      <c r="B11" s="632"/>
      <c r="C11" s="167">
        <v>5</v>
      </c>
      <c r="D11" s="147" t="s">
        <v>414</v>
      </c>
      <c r="E11" s="629"/>
      <c r="F11" s="637"/>
      <c r="G11" s="626"/>
      <c r="H11" s="640"/>
      <c r="I11" s="626"/>
      <c r="J11" s="653"/>
      <c r="K11" s="656"/>
      <c r="L11" s="659"/>
    </row>
    <row r="12" spans="2:12" s="168" customFormat="1" ht="43.5" customHeight="1">
      <c r="B12" s="630">
        <v>2</v>
      </c>
      <c r="C12" s="645" t="s">
        <v>764</v>
      </c>
      <c r="D12" s="646"/>
      <c r="E12" s="627">
        <v>26.4</v>
      </c>
      <c r="F12" s="635">
        <v>10</v>
      </c>
      <c r="G12" s="624">
        <f>E12*F12</f>
        <v>264</v>
      </c>
      <c r="H12" s="638">
        <v>6</v>
      </c>
      <c r="I12" s="624">
        <f>G12*H12</f>
        <v>1584</v>
      </c>
      <c r="J12" s="651">
        <f>I12/100*9</f>
        <v>142.56</v>
      </c>
      <c r="K12" s="654">
        <f>21.9/1.2</f>
        <v>18.25</v>
      </c>
      <c r="L12" s="657">
        <f>J12*K12</f>
        <v>2601.7200000000003</v>
      </c>
    </row>
    <row r="13" spans="2:12" s="168" customFormat="1" ht="30" customHeight="1">
      <c r="B13" s="631"/>
      <c r="C13" s="151">
        <v>1</v>
      </c>
      <c r="D13" s="149" t="s">
        <v>410</v>
      </c>
      <c r="E13" s="628"/>
      <c r="F13" s="636"/>
      <c r="G13" s="625"/>
      <c r="H13" s="639"/>
      <c r="I13" s="625"/>
      <c r="J13" s="652"/>
      <c r="K13" s="655"/>
      <c r="L13" s="658"/>
    </row>
    <row r="14" spans="2:12" s="168" customFormat="1" ht="30" customHeight="1">
      <c r="B14" s="631"/>
      <c r="C14" s="151">
        <v>2</v>
      </c>
      <c r="D14" s="149" t="s">
        <v>411</v>
      </c>
      <c r="E14" s="628"/>
      <c r="F14" s="636"/>
      <c r="G14" s="625"/>
      <c r="H14" s="639"/>
      <c r="I14" s="625"/>
      <c r="J14" s="652"/>
      <c r="K14" s="655"/>
      <c r="L14" s="658"/>
    </row>
    <row r="15" spans="2:12" s="168" customFormat="1" ht="30" customHeight="1">
      <c r="B15" s="631"/>
      <c r="C15" s="151">
        <v>3</v>
      </c>
      <c r="D15" s="149" t="s">
        <v>412</v>
      </c>
      <c r="E15" s="628"/>
      <c r="F15" s="636"/>
      <c r="G15" s="625"/>
      <c r="H15" s="639"/>
      <c r="I15" s="625"/>
      <c r="J15" s="652"/>
      <c r="K15" s="655"/>
      <c r="L15" s="658"/>
    </row>
    <row r="16" spans="2:12" s="168" customFormat="1" ht="30" customHeight="1">
      <c r="B16" s="631"/>
      <c r="C16" s="151">
        <v>4</v>
      </c>
      <c r="D16" s="149" t="s">
        <v>413</v>
      </c>
      <c r="E16" s="628"/>
      <c r="F16" s="636"/>
      <c r="G16" s="625"/>
      <c r="H16" s="639"/>
      <c r="I16" s="625"/>
      <c r="J16" s="652"/>
      <c r="K16" s="655"/>
      <c r="L16" s="658"/>
    </row>
    <row r="17" spans="2:13" s="168" customFormat="1" ht="30" customHeight="1">
      <c r="B17" s="632"/>
      <c r="C17" s="167">
        <v>5</v>
      </c>
      <c r="D17" s="147" t="s">
        <v>414</v>
      </c>
      <c r="E17" s="629"/>
      <c r="F17" s="637"/>
      <c r="G17" s="626"/>
      <c r="H17" s="640"/>
      <c r="I17" s="626"/>
      <c r="J17" s="653"/>
      <c r="K17" s="656"/>
      <c r="L17" s="659"/>
    </row>
    <row r="18" spans="2:13" s="175" customFormat="1" ht="45" customHeight="1">
      <c r="B18" s="630">
        <v>3</v>
      </c>
      <c r="C18" s="645" t="s">
        <v>767</v>
      </c>
      <c r="D18" s="646"/>
      <c r="E18" s="627">
        <v>26.4</v>
      </c>
      <c r="F18" s="635">
        <v>2</v>
      </c>
      <c r="G18" s="624">
        <f>E18*F18</f>
        <v>52.8</v>
      </c>
      <c r="H18" s="638">
        <v>6</v>
      </c>
      <c r="I18" s="624">
        <f>G18*H18</f>
        <v>316.79999999999995</v>
      </c>
      <c r="J18" s="651">
        <f>I18/100*9</f>
        <v>28.511999999999997</v>
      </c>
      <c r="K18" s="654">
        <f>21.9/1.2</f>
        <v>18.25</v>
      </c>
      <c r="L18" s="657">
        <f>J18*K18</f>
        <v>520.34399999999994</v>
      </c>
    </row>
    <row r="19" spans="2:13" s="175" customFormat="1" ht="30" customHeight="1">
      <c r="B19" s="631"/>
      <c r="C19" s="151">
        <v>1</v>
      </c>
      <c r="D19" s="149" t="s">
        <v>410</v>
      </c>
      <c r="E19" s="628"/>
      <c r="F19" s="636"/>
      <c r="G19" s="625"/>
      <c r="H19" s="639"/>
      <c r="I19" s="625"/>
      <c r="J19" s="652"/>
      <c r="K19" s="655"/>
      <c r="L19" s="658"/>
    </row>
    <row r="20" spans="2:13" s="175" customFormat="1" ht="30" customHeight="1">
      <c r="B20" s="631"/>
      <c r="C20" s="151">
        <v>2</v>
      </c>
      <c r="D20" s="149" t="s">
        <v>411</v>
      </c>
      <c r="E20" s="628"/>
      <c r="F20" s="636"/>
      <c r="G20" s="625"/>
      <c r="H20" s="639"/>
      <c r="I20" s="625"/>
      <c r="J20" s="652"/>
      <c r="K20" s="655"/>
      <c r="L20" s="658"/>
    </row>
    <row r="21" spans="2:13" s="175" customFormat="1" ht="30" customHeight="1">
      <c r="B21" s="631"/>
      <c r="C21" s="151">
        <v>3</v>
      </c>
      <c r="D21" s="149" t="s">
        <v>412</v>
      </c>
      <c r="E21" s="628"/>
      <c r="F21" s="636"/>
      <c r="G21" s="625"/>
      <c r="H21" s="639"/>
      <c r="I21" s="625"/>
      <c r="J21" s="652"/>
      <c r="K21" s="655"/>
      <c r="L21" s="658"/>
    </row>
    <row r="22" spans="2:13" s="175" customFormat="1" ht="30" customHeight="1">
      <c r="B22" s="631"/>
      <c r="C22" s="151">
        <v>4</v>
      </c>
      <c r="D22" s="149" t="s">
        <v>413</v>
      </c>
      <c r="E22" s="628"/>
      <c r="F22" s="636"/>
      <c r="G22" s="625"/>
      <c r="H22" s="639"/>
      <c r="I22" s="625"/>
      <c r="J22" s="652"/>
      <c r="K22" s="655"/>
      <c r="L22" s="658"/>
    </row>
    <row r="23" spans="2:13" s="175" customFormat="1" ht="30" customHeight="1">
      <c r="B23" s="632"/>
      <c r="C23" s="167">
        <v>5</v>
      </c>
      <c r="D23" s="147" t="s">
        <v>414</v>
      </c>
      <c r="E23" s="629"/>
      <c r="F23" s="637"/>
      <c r="G23" s="626"/>
      <c r="H23" s="640"/>
      <c r="I23" s="626"/>
      <c r="J23" s="653"/>
      <c r="K23" s="656"/>
      <c r="L23" s="659"/>
    </row>
    <row r="24" spans="2:13" ht="42.75" customHeight="1">
      <c r="B24" s="630">
        <v>4</v>
      </c>
      <c r="C24" s="645" t="s">
        <v>769</v>
      </c>
      <c r="D24" s="646"/>
      <c r="E24" s="627">
        <v>44.3</v>
      </c>
      <c r="F24" s="635">
        <v>10</v>
      </c>
      <c r="G24" s="624">
        <f>E24*F24</f>
        <v>443</v>
      </c>
      <c r="H24" s="638">
        <v>6</v>
      </c>
      <c r="I24" s="624">
        <f>G24*H24</f>
        <v>2658</v>
      </c>
      <c r="J24" s="651">
        <f>I24/100*9</f>
        <v>239.21999999999997</v>
      </c>
      <c r="K24" s="654">
        <f>21.9/1.2</f>
        <v>18.25</v>
      </c>
      <c r="L24" s="657">
        <f>J24*K24</f>
        <v>4365.7649999999994</v>
      </c>
    </row>
    <row r="25" spans="2:13" ht="30" customHeight="1">
      <c r="B25" s="633"/>
      <c r="C25" s="151">
        <v>1</v>
      </c>
      <c r="D25" s="149" t="s">
        <v>410</v>
      </c>
      <c r="E25" s="628"/>
      <c r="F25" s="636"/>
      <c r="G25" s="625"/>
      <c r="H25" s="639"/>
      <c r="I25" s="625"/>
      <c r="J25" s="652"/>
      <c r="K25" s="655"/>
      <c r="L25" s="658"/>
      <c r="M25" s="152">
        <v>4.5</v>
      </c>
    </row>
    <row r="26" spans="2:13" ht="30" customHeight="1">
      <c r="B26" s="633"/>
      <c r="C26" s="151">
        <v>2</v>
      </c>
      <c r="D26" s="149" t="s">
        <v>411</v>
      </c>
      <c r="E26" s="628"/>
      <c r="F26" s="636"/>
      <c r="G26" s="625"/>
      <c r="H26" s="639"/>
      <c r="I26" s="625"/>
      <c r="J26" s="652"/>
      <c r="K26" s="655"/>
      <c r="L26" s="658"/>
      <c r="M26" s="152">
        <v>5.2</v>
      </c>
    </row>
    <row r="27" spans="2:13" ht="30" customHeight="1">
      <c r="B27" s="633"/>
      <c r="C27" s="151">
        <v>3</v>
      </c>
      <c r="D27" s="149" t="s">
        <v>412</v>
      </c>
      <c r="E27" s="628"/>
      <c r="F27" s="636"/>
      <c r="G27" s="625"/>
      <c r="H27" s="639"/>
      <c r="I27" s="625"/>
      <c r="J27" s="652"/>
      <c r="K27" s="655"/>
      <c r="L27" s="658"/>
      <c r="M27" s="152">
        <v>2.2000000000000002</v>
      </c>
    </row>
    <row r="28" spans="2:13" ht="30" customHeight="1">
      <c r="B28" s="633"/>
      <c r="C28" s="151">
        <v>4</v>
      </c>
      <c r="D28" s="149" t="s">
        <v>413</v>
      </c>
      <c r="E28" s="628"/>
      <c r="F28" s="636"/>
      <c r="G28" s="625"/>
      <c r="H28" s="639"/>
      <c r="I28" s="625"/>
      <c r="J28" s="652"/>
      <c r="K28" s="655"/>
      <c r="L28" s="658"/>
      <c r="M28" s="152">
        <v>12.5</v>
      </c>
    </row>
    <row r="29" spans="2:13" ht="30" customHeight="1">
      <c r="B29" s="634"/>
      <c r="C29" s="167">
        <v>5</v>
      </c>
      <c r="D29" s="147" t="s">
        <v>414</v>
      </c>
      <c r="E29" s="629"/>
      <c r="F29" s="637"/>
      <c r="G29" s="626"/>
      <c r="H29" s="640"/>
      <c r="I29" s="626"/>
      <c r="J29" s="653"/>
      <c r="K29" s="656"/>
      <c r="L29" s="659"/>
      <c r="M29" s="152">
        <v>19.899999999999999</v>
      </c>
    </row>
    <row r="30" spans="2:13" s="168" customFormat="1" ht="42" customHeight="1">
      <c r="B30" s="630">
        <v>5</v>
      </c>
      <c r="C30" s="645" t="s">
        <v>770</v>
      </c>
      <c r="D30" s="646"/>
      <c r="E30" s="627">
        <v>26.4</v>
      </c>
      <c r="F30" s="635">
        <v>21</v>
      </c>
      <c r="G30" s="624">
        <f>E30*F30</f>
        <v>554.4</v>
      </c>
      <c r="H30" s="638">
        <v>6</v>
      </c>
      <c r="I30" s="624">
        <f>G30*6</f>
        <v>3326.3999999999996</v>
      </c>
      <c r="J30" s="651">
        <f>I30/100*9</f>
        <v>299.37599999999998</v>
      </c>
      <c r="K30" s="654">
        <f>21.9/1.2</f>
        <v>18.25</v>
      </c>
      <c r="L30" s="657">
        <f>J30*K30</f>
        <v>5463.6119999999992</v>
      </c>
    </row>
    <row r="31" spans="2:13" s="168" customFormat="1" ht="30" customHeight="1">
      <c r="B31" s="631"/>
      <c r="C31" s="151">
        <v>1</v>
      </c>
      <c r="D31" s="149" t="s">
        <v>410</v>
      </c>
      <c r="E31" s="628"/>
      <c r="F31" s="636"/>
      <c r="G31" s="625"/>
      <c r="H31" s="639"/>
      <c r="I31" s="625"/>
      <c r="J31" s="652"/>
      <c r="K31" s="655"/>
      <c r="L31" s="658"/>
    </row>
    <row r="32" spans="2:13" s="168" customFormat="1" ht="30" customHeight="1">
      <c r="B32" s="631"/>
      <c r="C32" s="151">
        <v>2</v>
      </c>
      <c r="D32" s="149" t="s">
        <v>411</v>
      </c>
      <c r="E32" s="628"/>
      <c r="F32" s="636"/>
      <c r="G32" s="625"/>
      <c r="H32" s="639"/>
      <c r="I32" s="625"/>
      <c r="J32" s="652"/>
      <c r="K32" s="655"/>
      <c r="L32" s="658"/>
    </row>
    <row r="33" spans="2:14" s="168" customFormat="1" ht="30" customHeight="1">
      <c r="B33" s="631"/>
      <c r="C33" s="151">
        <v>3</v>
      </c>
      <c r="D33" s="149" t="s">
        <v>412</v>
      </c>
      <c r="E33" s="628"/>
      <c r="F33" s="636"/>
      <c r="G33" s="625"/>
      <c r="H33" s="639"/>
      <c r="I33" s="625"/>
      <c r="J33" s="652"/>
      <c r="K33" s="655"/>
      <c r="L33" s="658"/>
    </row>
    <row r="34" spans="2:14" s="168" customFormat="1" ht="30" customHeight="1">
      <c r="B34" s="631"/>
      <c r="C34" s="151">
        <v>4</v>
      </c>
      <c r="D34" s="149" t="s">
        <v>413</v>
      </c>
      <c r="E34" s="628"/>
      <c r="F34" s="636"/>
      <c r="G34" s="625"/>
      <c r="H34" s="639"/>
      <c r="I34" s="625"/>
      <c r="J34" s="652"/>
      <c r="K34" s="655"/>
      <c r="L34" s="658"/>
    </row>
    <row r="35" spans="2:14" s="168" customFormat="1" ht="30" customHeight="1">
      <c r="B35" s="632"/>
      <c r="C35" s="167">
        <v>5</v>
      </c>
      <c r="D35" s="147" t="s">
        <v>414</v>
      </c>
      <c r="E35" s="629"/>
      <c r="F35" s="637"/>
      <c r="G35" s="626"/>
      <c r="H35" s="640"/>
      <c r="I35" s="626"/>
      <c r="J35" s="653"/>
      <c r="K35" s="656"/>
      <c r="L35" s="659"/>
    </row>
    <row r="36" spans="2:14" ht="52.5" customHeight="1">
      <c r="B36" s="176">
        <v>6</v>
      </c>
      <c r="C36" s="647" t="s">
        <v>772</v>
      </c>
      <c r="D36" s="648"/>
      <c r="E36" s="180">
        <v>32.700000000000003</v>
      </c>
      <c r="F36" s="158">
        <v>21</v>
      </c>
      <c r="G36" s="173">
        <f>E36*F36</f>
        <v>686.7</v>
      </c>
      <c r="H36" s="174">
        <v>12</v>
      </c>
      <c r="I36" s="173">
        <f>G36*H36</f>
        <v>8240.4000000000015</v>
      </c>
      <c r="J36" s="366">
        <f>I36/100*9</f>
        <v>741.63600000000008</v>
      </c>
      <c r="K36" s="654">
        <f>21.9/1.2</f>
        <v>18.25</v>
      </c>
      <c r="L36" s="146">
        <f>J36*K36</f>
        <v>13534.857000000002</v>
      </c>
    </row>
    <row r="37" spans="2:14" ht="30" hidden="1" customHeight="1">
      <c r="B37" s="70"/>
      <c r="C37" s="148">
        <v>1</v>
      </c>
      <c r="D37" s="150" t="s">
        <v>417</v>
      </c>
      <c r="E37" s="70"/>
      <c r="F37" s="157"/>
      <c r="G37" s="153"/>
      <c r="H37" s="71"/>
      <c r="I37" s="71"/>
      <c r="J37" s="71"/>
      <c r="K37" s="655"/>
      <c r="L37" s="100"/>
    </row>
    <row r="38" spans="2:14" ht="30" hidden="1" customHeight="1">
      <c r="B38" s="70"/>
      <c r="C38" s="148">
        <v>2</v>
      </c>
      <c r="D38" s="150" t="s">
        <v>416</v>
      </c>
      <c r="E38" s="70"/>
      <c r="F38" s="157"/>
      <c r="G38" s="153"/>
      <c r="H38" s="71"/>
      <c r="I38" s="71"/>
      <c r="J38" s="71"/>
      <c r="K38" s="655"/>
      <c r="L38" s="100"/>
    </row>
    <row r="39" spans="2:14" ht="28.5" hidden="1" customHeight="1">
      <c r="B39" s="70"/>
      <c r="C39" s="148">
        <v>3</v>
      </c>
      <c r="D39" s="150" t="s">
        <v>418</v>
      </c>
      <c r="E39" s="70"/>
      <c r="F39" s="157"/>
      <c r="G39" s="153"/>
      <c r="H39" s="71"/>
      <c r="I39" s="71"/>
      <c r="J39" s="71"/>
      <c r="K39" s="655"/>
      <c r="L39" s="100"/>
    </row>
    <row r="40" spans="2:14" ht="18.75" customHeight="1" thickBot="1">
      <c r="B40" s="156">
        <v>6</v>
      </c>
      <c r="C40" s="649" t="s">
        <v>330</v>
      </c>
      <c r="D40" s="650"/>
      <c r="E40" s="159"/>
      <c r="F40" s="160"/>
      <c r="G40" s="161"/>
      <c r="H40" s="162"/>
      <c r="I40" s="161"/>
      <c r="J40" s="161"/>
      <c r="K40" s="163"/>
      <c r="L40" s="164"/>
    </row>
    <row r="41" spans="2:14" ht="24.75" customHeight="1" thickBot="1">
      <c r="C41" s="643" t="s">
        <v>311</v>
      </c>
      <c r="D41" s="644"/>
      <c r="E41" s="73"/>
      <c r="F41" s="73"/>
      <c r="G41" s="182"/>
      <c r="H41" s="75"/>
      <c r="I41" s="74">
        <f>SUM(I6:I40)</f>
        <v>19452</v>
      </c>
      <c r="J41" s="75">
        <f>J6+J12+J18+J24+J30+J36</f>
        <v>1750.6799999999998</v>
      </c>
      <c r="K41" s="332"/>
      <c r="L41" s="76">
        <f>SUM(L6:L40)</f>
        <v>31949.910000000003</v>
      </c>
      <c r="N41">
        <v>68380.800000000003</v>
      </c>
    </row>
    <row r="42" spans="2:14">
      <c r="C42" s="1"/>
      <c r="D42" s="1"/>
      <c r="E42" s="101"/>
      <c r="F42" s="1"/>
      <c r="G42" s="1"/>
      <c r="H42" s="1"/>
      <c r="I42" s="1"/>
      <c r="J42" s="1"/>
      <c r="K42" s="333"/>
      <c r="L42" s="1"/>
    </row>
    <row r="43" spans="2:14" s="245" customFormat="1">
      <c r="C43" s="185"/>
      <c r="D43" s="185"/>
      <c r="E43" s="101"/>
      <c r="F43" s="185"/>
      <c r="G43" s="185"/>
      <c r="H43" s="185"/>
      <c r="I43" s="185"/>
      <c r="J43" s="185"/>
      <c r="K43" s="333"/>
      <c r="L43" s="185"/>
    </row>
    <row r="44" spans="2:14" s="245" customFormat="1" ht="15.75">
      <c r="C44" s="185"/>
      <c r="D44" s="547" t="s">
        <v>761</v>
      </c>
      <c r="E44" s="548">
        <f>L6+L12+L18+L24+L30</f>
        <v>18415.053</v>
      </c>
      <c r="F44" s="546"/>
      <c r="G44" s="185"/>
      <c r="H44" s="185"/>
      <c r="I44" s="185"/>
      <c r="J44" s="185"/>
      <c r="K44" s="333"/>
      <c r="L44" s="185"/>
    </row>
    <row r="45" spans="2:14" s="245" customFormat="1" ht="15.75">
      <c r="C45" s="185"/>
      <c r="D45" s="547"/>
      <c r="E45" s="549"/>
      <c r="F45" s="546"/>
      <c r="G45" s="185"/>
      <c r="H45" s="185"/>
      <c r="I45" s="185"/>
      <c r="J45" s="185"/>
      <c r="K45" s="333"/>
      <c r="L45" s="185"/>
    </row>
    <row r="46" spans="2:14" s="245" customFormat="1" ht="15.75">
      <c r="C46" s="185"/>
      <c r="D46" s="547" t="s">
        <v>762</v>
      </c>
      <c r="E46" s="550">
        <f>L36</f>
        <v>13534.857000000002</v>
      </c>
      <c r="F46" s="546"/>
      <c r="G46" s="185"/>
      <c r="H46" s="185"/>
      <c r="I46" s="185"/>
      <c r="J46" s="185"/>
      <c r="K46" s="333"/>
      <c r="L46" s="185"/>
    </row>
    <row r="47" spans="2:14" s="245" customFormat="1">
      <c r="C47" s="185"/>
      <c r="D47" s="185"/>
      <c r="E47" s="101"/>
      <c r="F47" s="185"/>
      <c r="G47" s="185"/>
      <c r="H47" s="185"/>
      <c r="I47" s="185"/>
      <c r="J47" s="185"/>
      <c r="K47" s="333"/>
      <c r="L47" s="185"/>
    </row>
    <row r="48" spans="2:14" s="245" customFormat="1">
      <c r="C48" s="185"/>
      <c r="D48" s="185"/>
      <c r="E48" s="101"/>
      <c r="F48" s="185"/>
      <c r="G48" s="185"/>
      <c r="H48" s="185"/>
      <c r="I48" s="185"/>
      <c r="J48" s="185"/>
      <c r="K48" s="333"/>
      <c r="L48" s="185"/>
    </row>
    <row r="51" spans="2:8" ht="15.75">
      <c r="B51" s="544"/>
      <c r="C51" s="544" t="s">
        <v>331</v>
      </c>
      <c r="D51" s="544"/>
      <c r="E51" s="544"/>
      <c r="F51" s="545"/>
      <c r="G51" s="545" t="s">
        <v>332</v>
      </c>
      <c r="H51" s="54"/>
    </row>
  </sheetData>
  <mergeCells count="56">
    <mergeCell ref="K36:K39"/>
    <mergeCell ref="I12:I17"/>
    <mergeCell ref="J12:J17"/>
    <mergeCell ref="K12:K17"/>
    <mergeCell ref="L12:L17"/>
    <mergeCell ref="I30:I35"/>
    <mergeCell ref="J30:J35"/>
    <mergeCell ref="K30:K35"/>
    <mergeCell ref="L30:L35"/>
    <mergeCell ref="I18:I23"/>
    <mergeCell ref="J18:J23"/>
    <mergeCell ref="K18:K23"/>
    <mergeCell ref="L18:L23"/>
    <mergeCell ref="K24:K29"/>
    <mergeCell ref="L24:L29"/>
    <mergeCell ref="J24:J29"/>
    <mergeCell ref="B30:B35"/>
    <mergeCell ref="C30:D30"/>
    <mergeCell ref="E30:E35"/>
    <mergeCell ref="F30:F35"/>
    <mergeCell ref="G30:G35"/>
    <mergeCell ref="B3:L3"/>
    <mergeCell ref="C24:D24"/>
    <mergeCell ref="C36:D36"/>
    <mergeCell ref="C40:D40"/>
    <mergeCell ref="C6:D6"/>
    <mergeCell ref="E6:E11"/>
    <mergeCell ref="F6:F11"/>
    <mergeCell ref="G6:G11"/>
    <mergeCell ref="I6:I11"/>
    <mergeCell ref="J6:J11"/>
    <mergeCell ref="K6:K11"/>
    <mergeCell ref="L6:L11"/>
    <mergeCell ref="C12:D12"/>
    <mergeCell ref="B12:B17"/>
    <mergeCell ref="E12:E17"/>
    <mergeCell ref="B6:B11"/>
    <mergeCell ref="C5:D5"/>
    <mergeCell ref="C41:D41"/>
    <mergeCell ref="H6:H11"/>
    <mergeCell ref="F12:F17"/>
    <mergeCell ref="G12:G17"/>
    <mergeCell ref="H12:H17"/>
    <mergeCell ref="H30:H35"/>
    <mergeCell ref="C18:D18"/>
    <mergeCell ref="E18:E23"/>
    <mergeCell ref="F18:F23"/>
    <mergeCell ref="G18:G23"/>
    <mergeCell ref="H18:H23"/>
    <mergeCell ref="I24:I29"/>
    <mergeCell ref="E24:E29"/>
    <mergeCell ref="B18:B23"/>
    <mergeCell ref="B24:B29"/>
    <mergeCell ref="F24:F29"/>
    <mergeCell ref="G24:G29"/>
    <mergeCell ref="H24:H29"/>
  </mergeCells>
  <pageMargins left="0.25" right="0.25" top="0.75" bottom="0.75" header="0.3" footer="0.3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</sheetPr>
  <dimension ref="B1:N27"/>
  <sheetViews>
    <sheetView topLeftCell="A21" workbookViewId="0">
      <selection activeCell="A51" sqref="A1:L51"/>
    </sheetView>
  </sheetViews>
  <sheetFormatPr defaultRowHeight="12.75"/>
  <cols>
    <col min="1" max="1" width="1" customWidth="1"/>
    <col min="2" max="2" width="2.5703125" customWidth="1"/>
    <col min="3" max="3" width="76.7109375" customWidth="1"/>
    <col min="4" max="4" width="7" customWidth="1"/>
    <col min="5" max="5" width="6.7109375" customWidth="1"/>
    <col min="6" max="6" width="10.85546875" customWidth="1"/>
    <col min="7" max="7" width="10" customWidth="1"/>
  </cols>
  <sheetData>
    <row r="1" spans="2:12" ht="7.5" customHeight="1"/>
    <row r="2" spans="2:12">
      <c r="C2" s="663" t="s">
        <v>419</v>
      </c>
      <c r="D2" s="664"/>
      <c r="E2" s="664"/>
      <c r="F2" s="664"/>
      <c r="G2" s="664"/>
    </row>
    <row r="3" spans="2:12" ht="15.75" customHeight="1">
      <c r="C3" s="665" t="s">
        <v>642</v>
      </c>
      <c r="D3" s="665"/>
      <c r="E3" s="665"/>
      <c r="F3" s="665"/>
      <c r="G3" s="665"/>
    </row>
    <row r="4" spans="2:12">
      <c r="C4" s="664" t="s">
        <v>695</v>
      </c>
      <c r="D4" s="664"/>
      <c r="E4" s="664"/>
      <c r="F4" s="664"/>
      <c r="G4" s="664"/>
    </row>
    <row r="5" spans="2:12" ht="6" customHeight="1"/>
    <row r="6" spans="2:12" ht="78.75">
      <c r="B6" s="56" t="s">
        <v>7</v>
      </c>
      <c r="C6" s="56" t="s">
        <v>420</v>
      </c>
      <c r="D6" s="56" t="s">
        <v>421</v>
      </c>
      <c r="E6" s="56" t="s">
        <v>309</v>
      </c>
      <c r="F6" s="56" t="s">
        <v>422</v>
      </c>
      <c r="G6" s="56" t="s">
        <v>641</v>
      </c>
    </row>
    <row r="7" spans="2:12" ht="117" customHeight="1">
      <c r="B7" s="184">
        <v>1</v>
      </c>
      <c r="C7" s="165" t="s">
        <v>765</v>
      </c>
      <c r="D7" s="72">
        <v>26.4</v>
      </c>
      <c r="E7" s="72">
        <v>21</v>
      </c>
      <c r="F7" s="169">
        <f>D7*E7</f>
        <v>554.4</v>
      </c>
      <c r="G7" s="169">
        <f>F7/100*9</f>
        <v>49.895999999999994</v>
      </c>
      <c r="H7">
        <f>G7*6</f>
        <v>299.37599999999998</v>
      </c>
    </row>
    <row r="8" spans="2:12" s="155" customFormat="1" ht="117" customHeight="1">
      <c r="B8" s="184">
        <v>2</v>
      </c>
      <c r="C8" s="165" t="s">
        <v>766</v>
      </c>
      <c r="D8" s="72">
        <v>26.4</v>
      </c>
      <c r="E8" s="72">
        <v>10</v>
      </c>
      <c r="F8" s="169">
        <f>D8*E8</f>
        <v>264</v>
      </c>
      <c r="G8" s="169">
        <f>F8/100*9</f>
        <v>23.76</v>
      </c>
      <c r="H8" s="155">
        <f>G8*6</f>
        <v>142.56</v>
      </c>
    </row>
    <row r="9" spans="2:12" s="175" customFormat="1" ht="114.75" customHeight="1">
      <c r="B9" s="184">
        <v>3</v>
      </c>
      <c r="C9" s="177" t="s">
        <v>768</v>
      </c>
      <c r="D9" s="72">
        <v>26.4</v>
      </c>
      <c r="E9" s="72">
        <v>2</v>
      </c>
      <c r="F9" s="169">
        <f>D9*E9</f>
        <v>52.8</v>
      </c>
      <c r="G9" s="169">
        <f>F9/100*9</f>
        <v>4.7520000000000007</v>
      </c>
      <c r="H9" s="175">
        <f>G9*6</f>
        <v>28.512000000000004</v>
      </c>
    </row>
    <row r="10" spans="2:12" ht="40.5" customHeight="1">
      <c r="B10" s="660">
        <v>4</v>
      </c>
      <c r="C10" s="177" t="s">
        <v>771</v>
      </c>
      <c r="D10" s="666">
        <v>44.3</v>
      </c>
      <c r="E10" s="590">
        <v>10</v>
      </c>
      <c r="F10" s="590">
        <f t="shared" ref="F10:F18" si="0">D10*E10</f>
        <v>443</v>
      </c>
      <c r="G10" s="590">
        <f>F10/100*9</f>
        <v>39.869999999999997</v>
      </c>
    </row>
    <row r="11" spans="2:12" s="175" customFormat="1" ht="41.25" customHeight="1">
      <c r="B11" s="661"/>
      <c r="C11" s="179" t="s">
        <v>432</v>
      </c>
      <c r="D11" s="667"/>
      <c r="E11" s="591"/>
      <c r="F11" s="591"/>
      <c r="G11" s="591"/>
    </row>
    <row r="12" spans="2:12" s="175" customFormat="1" ht="40.5" customHeight="1">
      <c r="B12" s="661"/>
      <c r="C12" s="179" t="s">
        <v>434</v>
      </c>
      <c r="D12" s="667"/>
      <c r="E12" s="591"/>
      <c r="F12" s="591"/>
      <c r="G12" s="591"/>
      <c r="H12" s="175">
        <f>G10*6</f>
        <v>239.21999999999997</v>
      </c>
    </row>
    <row r="13" spans="2:12" s="175" customFormat="1" ht="41.25" customHeight="1">
      <c r="B13" s="661"/>
      <c r="C13" s="179" t="s">
        <v>435</v>
      </c>
      <c r="D13" s="667"/>
      <c r="E13" s="591"/>
      <c r="F13" s="591"/>
      <c r="G13" s="591"/>
    </row>
    <row r="14" spans="2:12" s="175" customFormat="1" ht="37.5" customHeight="1">
      <c r="B14" s="661"/>
      <c r="C14" s="179" t="s">
        <v>433</v>
      </c>
      <c r="D14" s="667"/>
      <c r="E14" s="591"/>
      <c r="F14" s="591"/>
      <c r="G14" s="591"/>
    </row>
    <row r="15" spans="2:12" s="175" customFormat="1" ht="39.75" customHeight="1">
      <c r="B15" s="662"/>
      <c r="C15" s="178" t="s">
        <v>436</v>
      </c>
      <c r="D15" s="668"/>
      <c r="E15" s="592"/>
      <c r="F15" s="592"/>
      <c r="G15" s="592"/>
    </row>
    <row r="16" spans="2:12" ht="51" hidden="1" customHeight="1">
      <c r="B16" s="72">
        <v>7</v>
      </c>
      <c r="C16" s="178" t="s">
        <v>424</v>
      </c>
      <c r="D16" s="157"/>
      <c r="E16" s="157">
        <v>1</v>
      </c>
      <c r="F16" s="72">
        <f t="shared" si="0"/>
        <v>0</v>
      </c>
      <c r="G16" s="166">
        <f t="shared" ref="G16:G20" si="1">F16/100*10</f>
        <v>0</v>
      </c>
      <c r="H16" s="172"/>
      <c r="I16" s="157">
        <v>1.6</v>
      </c>
      <c r="J16" s="157">
        <v>1</v>
      </c>
      <c r="K16" s="72">
        <f t="shared" ref="K16:K20" si="2">I16*J16</f>
        <v>1.6</v>
      </c>
      <c r="L16" s="166">
        <f t="shared" ref="L16:L20" si="3">K16/100*10</f>
        <v>0.16</v>
      </c>
    </row>
    <row r="17" spans="2:14" ht="51" hidden="1" customHeight="1">
      <c r="B17" s="72">
        <v>8</v>
      </c>
      <c r="C17" s="165" t="s">
        <v>425</v>
      </c>
      <c r="D17" s="157"/>
      <c r="E17" s="157">
        <v>1</v>
      </c>
      <c r="F17" s="72">
        <f t="shared" si="0"/>
        <v>0</v>
      </c>
      <c r="G17" s="166">
        <f t="shared" si="1"/>
        <v>0</v>
      </c>
      <c r="I17" s="157">
        <v>2.5</v>
      </c>
      <c r="J17" s="157">
        <v>1</v>
      </c>
      <c r="K17" s="72">
        <f t="shared" si="2"/>
        <v>2.5</v>
      </c>
      <c r="L17" s="166">
        <f t="shared" si="3"/>
        <v>0.25</v>
      </c>
    </row>
    <row r="18" spans="2:14" ht="52.5" hidden="1" customHeight="1">
      <c r="B18" s="72">
        <v>9</v>
      </c>
      <c r="C18" s="165" t="s">
        <v>426</v>
      </c>
      <c r="D18" s="157"/>
      <c r="E18" s="157">
        <v>1</v>
      </c>
      <c r="F18" s="72">
        <f t="shared" si="0"/>
        <v>0</v>
      </c>
      <c r="G18" s="166">
        <f t="shared" si="1"/>
        <v>0</v>
      </c>
      <c r="I18" s="157">
        <v>5.6</v>
      </c>
      <c r="J18" s="157">
        <v>1</v>
      </c>
      <c r="K18" s="72">
        <f t="shared" si="2"/>
        <v>5.6</v>
      </c>
      <c r="L18" s="166">
        <f t="shared" si="3"/>
        <v>0.55999999999999994</v>
      </c>
    </row>
    <row r="19" spans="2:14" ht="65.25" hidden="1" customHeight="1">
      <c r="B19" s="72">
        <v>10</v>
      </c>
      <c r="C19" s="165" t="s">
        <v>427</v>
      </c>
      <c r="D19" s="157"/>
      <c r="E19" s="157">
        <v>2</v>
      </c>
      <c r="F19" s="72">
        <f t="shared" ref="F19:F22" si="4">D19*E19</f>
        <v>0</v>
      </c>
      <c r="G19" s="166">
        <f t="shared" si="1"/>
        <v>0</v>
      </c>
      <c r="I19" s="157">
        <v>21.4</v>
      </c>
      <c r="J19" s="157">
        <v>2</v>
      </c>
      <c r="K19" s="72">
        <f t="shared" si="2"/>
        <v>42.8</v>
      </c>
      <c r="L19" s="166">
        <f t="shared" si="3"/>
        <v>4.28</v>
      </c>
    </row>
    <row r="20" spans="2:14" ht="67.5" hidden="1" customHeight="1">
      <c r="B20" s="72">
        <v>11</v>
      </c>
      <c r="C20" s="165" t="s">
        <v>428</v>
      </c>
      <c r="D20" s="157"/>
      <c r="E20" s="157">
        <v>0.25</v>
      </c>
      <c r="F20" s="72">
        <f t="shared" si="4"/>
        <v>0</v>
      </c>
      <c r="G20" s="166">
        <f t="shared" si="1"/>
        <v>0</v>
      </c>
      <c r="I20" s="157">
        <v>139</v>
      </c>
      <c r="J20" s="157">
        <v>0.25</v>
      </c>
      <c r="K20" s="72">
        <f t="shared" si="2"/>
        <v>34.75</v>
      </c>
      <c r="L20" s="166">
        <f t="shared" si="3"/>
        <v>3.4749999999999996</v>
      </c>
    </row>
    <row r="21" spans="2:14" ht="117.75" customHeight="1">
      <c r="B21" s="184">
        <v>5</v>
      </c>
      <c r="C21" s="170" t="s">
        <v>431</v>
      </c>
      <c r="D21" s="157">
        <v>26.4</v>
      </c>
      <c r="E21" s="157">
        <v>21</v>
      </c>
      <c r="F21" s="169">
        <f t="shared" si="4"/>
        <v>554.4</v>
      </c>
      <c r="G21" s="171">
        <f>F21/100*9</f>
        <v>49.895999999999994</v>
      </c>
      <c r="H21">
        <f>G21*6</f>
        <v>299.37599999999998</v>
      </c>
    </row>
    <row r="22" spans="2:14" ht="50.25" customHeight="1">
      <c r="B22" s="184">
        <v>6</v>
      </c>
      <c r="C22" s="170" t="s">
        <v>773</v>
      </c>
      <c r="D22" s="157">
        <v>32.700000000000003</v>
      </c>
      <c r="E22" s="157">
        <v>21</v>
      </c>
      <c r="F22" s="169">
        <f t="shared" si="4"/>
        <v>686.7</v>
      </c>
      <c r="G22" s="171">
        <f>F22/100*9</f>
        <v>61.803000000000011</v>
      </c>
      <c r="H22">
        <f>G22*12</f>
        <v>741.63600000000019</v>
      </c>
      <c r="N22" t="s">
        <v>693</v>
      </c>
    </row>
    <row r="23" spans="2:14" s="245" customFormat="1" ht="41.25" customHeight="1">
      <c r="B23" s="184"/>
      <c r="C23" s="170"/>
      <c r="D23" s="157"/>
      <c r="E23" s="157"/>
      <c r="F23" s="169"/>
      <c r="G23" s="171"/>
    </row>
    <row r="24" spans="2:14" ht="21.75" customHeight="1">
      <c r="B24" s="55"/>
      <c r="C24" s="181" t="s">
        <v>311</v>
      </c>
      <c r="D24" s="70"/>
      <c r="E24" s="70"/>
      <c r="F24" s="183">
        <f>SUM(F7:F22)</f>
        <v>2555.3000000000002</v>
      </c>
      <c r="G24" s="156"/>
      <c r="H24">
        <f>SUM(H7:H22)</f>
        <v>1750.68</v>
      </c>
    </row>
    <row r="27" spans="2:14" ht="15">
      <c r="B27" s="551" t="s">
        <v>331</v>
      </c>
      <c r="C27" s="551"/>
      <c r="D27" s="551"/>
      <c r="E27" s="551"/>
      <c r="F27" s="552" t="s">
        <v>332</v>
      </c>
    </row>
  </sheetData>
  <mergeCells count="8">
    <mergeCell ref="B10:B15"/>
    <mergeCell ref="C2:G2"/>
    <mergeCell ref="C3:G3"/>
    <mergeCell ref="C4:G4"/>
    <mergeCell ref="D10:D15"/>
    <mergeCell ref="E10:E15"/>
    <mergeCell ref="F10:F15"/>
    <mergeCell ref="G10:G15"/>
  </mergeCells>
  <pageMargins left="0.19685039370078741" right="0.19685039370078741" top="0" bottom="0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B1:N27"/>
  <sheetViews>
    <sheetView topLeftCell="A3" workbookViewId="0">
      <selection activeCell="A51" sqref="A1:L51"/>
    </sheetView>
  </sheetViews>
  <sheetFormatPr defaultRowHeight="12.75"/>
  <cols>
    <col min="1" max="1" width="1" style="245" customWidth="1"/>
    <col min="2" max="2" width="2.5703125" style="245" customWidth="1"/>
    <col min="3" max="3" width="76.7109375" style="245" customWidth="1"/>
    <col min="4" max="4" width="7" style="245" customWidth="1"/>
    <col min="5" max="5" width="6.7109375" style="245" customWidth="1"/>
    <col min="6" max="6" width="10.85546875" style="245" customWidth="1"/>
    <col min="7" max="7" width="10" style="245" customWidth="1"/>
    <col min="8" max="16384" width="9.140625" style="245"/>
  </cols>
  <sheetData>
    <row r="1" spans="2:12" ht="7.5" customHeight="1"/>
    <row r="2" spans="2:12">
      <c r="C2" s="663" t="s">
        <v>419</v>
      </c>
      <c r="D2" s="664"/>
      <c r="E2" s="664"/>
      <c r="F2" s="664"/>
      <c r="G2" s="664"/>
    </row>
    <row r="3" spans="2:12" ht="15.75" customHeight="1">
      <c r="C3" s="665" t="s">
        <v>642</v>
      </c>
      <c r="D3" s="665"/>
      <c r="E3" s="665"/>
      <c r="F3" s="665"/>
      <c r="G3" s="665"/>
    </row>
    <row r="4" spans="2:12">
      <c r="C4" s="664" t="s">
        <v>695</v>
      </c>
      <c r="D4" s="664"/>
      <c r="E4" s="664"/>
      <c r="F4" s="664"/>
      <c r="G4" s="664"/>
    </row>
    <row r="5" spans="2:12" ht="6" customHeight="1"/>
    <row r="6" spans="2:12" ht="78.75">
      <c r="B6" s="56" t="s">
        <v>7</v>
      </c>
      <c r="C6" s="56" t="s">
        <v>420</v>
      </c>
      <c r="D6" s="56" t="s">
        <v>421</v>
      </c>
      <c r="E6" s="56" t="s">
        <v>309</v>
      </c>
      <c r="F6" s="56" t="s">
        <v>422</v>
      </c>
      <c r="G6" s="56" t="s">
        <v>641</v>
      </c>
    </row>
    <row r="7" spans="2:12" ht="117" customHeight="1">
      <c r="B7" s="184">
        <v>1</v>
      </c>
      <c r="C7" s="165" t="s">
        <v>429</v>
      </c>
      <c r="D7" s="72">
        <v>26.4</v>
      </c>
      <c r="E7" s="72">
        <v>21</v>
      </c>
      <c r="F7" s="169">
        <f>D7*E7</f>
        <v>554.4</v>
      </c>
      <c r="G7" s="169">
        <f>F7/100*9</f>
        <v>49.895999999999994</v>
      </c>
      <c r="H7" s="245">
        <f>G7*6</f>
        <v>299.37599999999998</v>
      </c>
    </row>
    <row r="8" spans="2:12" ht="117" customHeight="1">
      <c r="B8" s="184">
        <v>2</v>
      </c>
      <c r="C8" s="165" t="s">
        <v>430</v>
      </c>
      <c r="D8" s="72">
        <v>26.4</v>
      </c>
      <c r="E8" s="72">
        <v>4</v>
      </c>
      <c r="F8" s="169">
        <f>D8*E8</f>
        <v>105.6</v>
      </c>
      <c r="G8" s="169">
        <f>F8/100*9</f>
        <v>9.5040000000000013</v>
      </c>
      <c r="H8" s="245">
        <f>G8*6</f>
        <v>57.024000000000008</v>
      </c>
    </row>
    <row r="9" spans="2:12" ht="114.75" customHeight="1">
      <c r="B9" s="184">
        <v>3</v>
      </c>
      <c r="C9" s="177" t="s">
        <v>437</v>
      </c>
      <c r="D9" s="72">
        <v>26.4</v>
      </c>
      <c r="E9" s="72">
        <v>4</v>
      </c>
      <c r="F9" s="169">
        <f>D9*E9</f>
        <v>105.6</v>
      </c>
      <c r="G9" s="169">
        <f>F9/100*9</f>
        <v>9.5040000000000013</v>
      </c>
      <c r="H9" s="245">
        <f>G9*6</f>
        <v>57.024000000000008</v>
      </c>
    </row>
    <row r="10" spans="2:12" ht="40.5" customHeight="1">
      <c r="B10" s="660">
        <v>4</v>
      </c>
      <c r="C10" s="177" t="s">
        <v>438</v>
      </c>
      <c r="D10" s="666">
        <v>28</v>
      </c>
      <c r="E10" s="590">
        <v>1</v>
      </c>
      <c r="F10" s="590">
        <f t="shared" ref="F10:F22" si="0">D10*E10</f>
        <v>28</v>
      </c>
      <c r="G10" s="590">
        <f>F10/100*9</f>
        <v>2.5200000000000005</v>
      </c>
    </row>
    <row r="11" spans="2:12" ht="41.25" customHeight="1">
      <c r="B11" s="661"/>
      <c r="C11" s="179" t="s">
        <v>432</v>
      </c>
      <c r="D11" s="667"/>
      <c r="E11" s="591"/>
      <c r="F11" s="591"/>
      <c r="G11" s="591"/>
    </row>
    <row r="12" spans="2:12" ht="40.5" customHeight="1">
      <c r="B12" s="661"/>
      <c r="C12" s="179" t="s">
        <v>434</v>
      </c>
      <c r="D12" s="667"/>
      <c r="E12" s="591"/>
      <c r="F12" s="591"/>
      <c r="G12" s="591"/>
      <c r="H12" s="245">
        <f>G10*6</f>
        <v>15.120000000000003</v>
      </c>
    </row>
    <row r="13" spans="2:12" ht="41.25" customHeight="1">
      <c r="B13" s="661"/>
      <c r="C13" s="179" t="s">
        <v>435</v>
      </c>
      <c r="D13" s="667"/>
      <c r="E13" s="591"/>
      <c r="F13" s="591"/>
      <c r="G13" s="591"/>
    </row>
    <row r="14" spans="2:12" ht="37.5" customHeight="1">
      <c r="B14" s="661"/>
      <c r="C14" s="179" t="s">
        <v>433</v>
      </c>
      <c r="D14" s="667"/>
      <c r="E14" s="591"/>
      <c r="F14" s="591"/>
      <c r="G14" s="591"/>
    </row>
    <row r="15" spans="2:12" ht="39.75" customHeight="1">
      <c r="B15" s="662"/>
      <c r="C15" s="178" t="s">
        <v>436</v>
      </c>
      <c r="D15" s="668"/>
      <c r="E15" s="592"/>
      <c r="F15" s="592"/>
      <c r="G15" s="592"/>
    </row>
    <row r="16" spans="2:12" ht="51" hidden="1" customHeight="1">
      <c r="B16" s="72">
        <v>7</v>
      </c>
      <c r="C16" s="178" t="s">
        <v>424</v>
      </c>
      <c r="D16" s="157"/>
      <c r="E16" s="157">
        <v>1</v>
      </c>
      <c r="F16" s="72">
        <f t="shared" si="0"/>
        <v>0</v>
      </c>
      <c r="G16" s="166">
        <f t="shared" ref="G16:G20" si="1">F16/100*10</f>
        <v>0</v>
      </c>
      <c r="H16" s="172"/>
      <c r="I16" s="157">
        <v>1.6</v>
      </c>
      <c r="J16" s="157">
        <v>1</v>
      </c>
      <c r="K16" s="72">
        <f t="shared" ref="K16:K20" si="2">I16*J16</f>
        <v>1.6</v>
      </c>
      <c r="L16" s="166">
        <f t="shared" ref="L16:L20" si="3">K16/100*10</f>
        <v>0.16</v>
      </c>
    </row>
    <row r="17" spans="2:14" ht="51" hidden="1" customHeight="1">
      <c r="B17" s="72">
        <v>8</v>
      </c>
      <c r="C17" s="165" t="s">
        <v>425</v>
      </c>
      <c r="D17" s="157"/>
      <c r="E17" s="157">
        <v>1</v>
      </c>
      <c r="F17" s="72">
        <f t="shared" si="0"/>
        <v>0</v>
      </c>
      <c r="G17" s="166">
        <f t="shared" si="1"/>
        <v>0</v>
      </c>
      <c r="I17" s="157">
        <v>2.5</v>
      </c>
      <c r="J17" s="157">
        <v>1</v>
      </c>
      <c r="K17" s="72">
        <f t="shared" si="2"/>
        <v>2.5</v>
      </c>
      <c r="L17" s="166">
        <f t="shared" si="3"/>
        <v>0.25</v>
      </c>
    </row>
    <row r="18" spans="2:14" ht="52.5" hidden="1" customHeight="1">
      <c r="B18" s="72">
        <v>9</v>
      </c>
      <c r="C18" s="165" t="s">
        <v>426</v>
      </c>
      <c r="D18" s="157"/>
      <c r="E18" s="157">
        <v>1</v>
      </c>
      <c r="F18" s="72">
        <f t="shared" si="0"/>
        <v>0</v>
      </c>
      <c r="G18" s="166">
        <f t="shared" si="1"/>
        <v>0</v>
      </c>
      <c r="I18" s="157">
        <v>5.6</v>
      </c>
      <c r="J18" s="157">
        <v>1</v>
      </c>
      <c r="K18" s="72">
        <f t="shared" si="2"/>
        <v>5.6</v>
      </c>
      <c r="L18" s="166">
        <f t="shared" si="3"/>
        <v>0.55999999999999994</v>
      </c>
    </row>
    <row r="19" spans="2:14" ht="65.25" hidden="1" customHeight="1">
      <c r="B19" s="72">
        <v>10</v>
      </c>
      <c r="C19" s="165" t="s">
        <v>427</v>
      </c>
      <c r="D19" s="157"/>
      <c r="E19" s="157">
        <v>2</v>
      </c>
      <c r="F19" s="72">
        <f t="shared" si="0"/>
        <v>0</v>
      </c>
      <c r="G19" s="166">
        <f t="shared" si="1"/>
        <v>0</v>
      </c>
      <c r="I19" s="157">
        <v>21.4</v>
      </c>
      <c r="J19" s="157">
        <v>2</v>
      </c>
      <c r="K19" s="72">
        <f t="shared" si="2"/>
        <v>42.8</v>
      </c>
      <c r="L19" s="166">
        <f t="shared" si="3"/>
        <v>4.28</v>
      </c>
    </row>
    <row r="20" spans="2:14" ht="67.5" hidden="1" customHeight="1">
      <c r="B20" s="72">
        <v>11</v>
      </c>
      <c r="C20" s="165" t="s">
        <v>428</v>
      </c>
      <c r="D20" s="157"/>
      <c r="E20" s="157">
        <v>0.25</v>
      </c>
      <c r="F20" s="72">
        <f t="shared" si="0"/>
        <v>0</v>
      </c>
      <c r="G20" s="166">
        <f t="shared" si="1"/>
        <v>0</v>
      </c>
      <c r="I20" s="157">
        <v>139</v>
      </c>
      <c r="J20" s="157">
        <v>0.25</v>
      </c>
      <c r="K20" s="72">
        <f t="shared" si="2"/>
        <v>34.75</v>
      </c>
      <c r="L20" s="166">
        <f t="shared" si="3"/>
        <v>3.4749999999999996</v>
      </c>
    </row>
    <row r="21" spans="2:14" ht="117.75" customHeight="1">
      <c r="B21" s="184">
        <v>5</v>
      </c>
      <c r="C21" s="170" t="s">
        <v>431</v>
      </c>
      <c r="D21" s="157">
        <v>26.4</v>
      </c>
      <c r="E21" s="157">
        <v>21</v>
      </c>
      <c r="F21" s="169">
        <f t="shared" si="0"/>
        <v>554.4</v>
      </c>
      <c r="G21" s="171">
        <f>F21/100*9</f>
        <v>49.895999999999994</v>
      </c>
      <c r="H21" s="245">
        <f>G21*6</f>
        <v>299.37599999999998</v>
      </c>
    </row>
    <row r="22" spans="2:14" ht="50.25" customHeight="1">
      <c r="B22" s="184">
        <v>6</v>
      </c>
      <c r="C22" s="170" t="s">
        <v>757</v>
      </c>
      <c r="D22" s="157">
        <v>32.700000000000003</v>
      </c>
      <c r="E22" s="157">
        <v>21</v>
      </c>
      <c r="F22" s="169">
        <f t="shared" si="0"/>
        <v>686.7</v>
      </c>
      <c r="G22" s="171">
        <f>F22/100*9</f>
        <v>61.803000000000011</v>
      </c>
      <c r="H22" s="245">
        <f>G22*12</f>
        <v>741.63600000000019</v>
      </c>
      <c r="N22" s="245" t="s">
        <v>693</v>
      </c>
    </row>
    <row r="23" spans="2:14" ht="41.25" customHeight="1">
      <c r="B23" s="184"/>
      <c r="C23" s="170"/>
      <c r="D23" s="157"/>
      <c r="E23" s="157"/>
      <c r="F23" s="169"/>
      <c r="G23" s="171"/>
    </row>
    <row r="24" spans="2:14" ht="21.75" customHeight="1">
      <c r="B24" s="55"/>
      <c r="C24" s="181" t="s">
        <v>311</v>
      </c>
      <c r="D24" s="70"/>
      <c r="E24" s="70"/>
      <c r="F24" s="183">
        <f>SUM(F7:F22)</f>
        <v>2034.7</v>
      </c>
      <c r="G24" s="156"/>
      <c r="H24" s="245">
        <f>SUM(H7:H22)</f>
        <v>1469.556</v>
      </c>
    </row>
    <row r="27" spans="2:14" s="318" customFormat="1">
      <c r="B27" s="318" t="s">
        <v>331</v>
      </c>
      <c r="F27" s="538" t="s">
        <v>332</v>
      </c>
    </row>
  </sheetData>
  <mergeCells count="8">
    <mergeCell ref="C2:G2"/>
    <mergeCell ref="C3:G3"/>
    <mergeCell ref="C4:G4"/>
    <mergeCell ref="B10:B15"/>
    <mergeCell ref="D10:D15"/>
    <mergeCell ref="E10:E15"/>
    <mergeCell ref="F10:F15"/>
    <mergeCell ref="G10:G15"/>
  </mergeCells>
  <pageMargins left="0.19685039370078741" right="0.19685039370078741" top="0" bottom="0" header="0.31496062992125984" footer="0.31496062992125984"/>
  <pageSetup paperSize="9"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/>
  </sheetPr>
  <dimension ref="B1:I15"/>
  <sheetViews>
    <sheetView topLeftCell="A2" workbookViewId="0">
      <selection activeCell="A51" sqref="A1:L51"/>
    </sheetView>
  </sheetViews>
  <sheetFormatPr defaultRowHeight="12.75"/>
  <cols>
    <col min="1" max="1" width="1.28515625" customWidth="1"/>
    <col min="2" max="2" width="3.42578125" customWidth="1"/>
    <col min="3" max="3" width="4.42578125" customWidth="1"/>
    <col min="4" max="4" width="45" customWidth="1"/>
    <col min="5" max="5" width="4.7109375" customWidth="1"/>
    <col min="6" max="6" width="4.85546875" customWidth="1"/>
    <col min="7" max="7" width="10.5703125" customWidth="1"/>
    <col min="8" max="8" width="15.140625" customWidth="1"/>
  </cols>
  <sheetData>
    <row r="1" spans="2:9" ht="6" customHeight="1"/>
    <row r="2" spans="2:9">
      <c r="H2" s="50" t="s">
        <v>342</v>
      </c>
    </row>
    <row r="4" spans="2:9" ht="28.5" customHeight="1">
      <c r="B4" s="573" t="s">
        <v>644</v>
      </c>
      <c r="C4" s="573"/>
      <c r="D4" s="573"/>
      <c r="E4" s="573"/>
      <c r="F4" s="573"/>
      <c r="G4" s="573"/>
      <c r="H4" s="574"/>
    </row>
    <row r="6" spans="2:9" ht="36.75" customHeight="1">
      <c r="B6" s="113"/>
      <c r="C6" s="586" t="s">
        <v>257</v>
      </c>
      <c r="D6" s="588"/>
      <c r="E6" s="56" t="s">
        <v>300</v>
      </c>
      <c r="F6" s="56" t="s">
        <v>299</v>
      </c>
      <c r="G6" s="56" t="s">
        <v>316</v>
      </c>
      <c r="H6" s="56" t="s">
        <v>319</v>
      </c>
      <c r="I6" s="53"/>
    </row>
    <row r="7" spans="2:9" ht="62.25" customHeight="1">
      <c r="B7" s="85">
        <v>1</v>
      </c>
      <c r="C7" s="669" t="s">
        <v>643</v>
      </c>
      <c r="D7" s="670"/>
      <c r="E7" s="70"/>
      <c r="F7" s="70"/>
      <c r="G7" s="70"/>
      <c r="H7" s="70"/>
    </row>
    <row r="8" spans="2:9" ht="15" customHeight="1">
      <c r="B8" s="85"/>
      <c r="C8" s="111"/>
      <c r="D8" s="109" t="s">
        <v>343</v>
      </c>
      <c r="E8" s="114" t="s">
        <v>312</v>
      </c>
      <c r="F8" s="114" t="s">
        <v>344</v>
      </c>
      <c r="G8" s="86">
        <v>3591</v>
      </c>
      <c r="H8" s="86">
        <f>F8*G8</f>
        <v>21546</v>
      </c>
    </row>
    <row r="9" spans="2:9" ht="14.25" customHeight="1">
      <c r="B9" s="85"/>
      <c r="C9" s="112"/>
      <c r="D9" s="110" t="s">
        <v>345</v>
      </c>
      <c r="E9" s="114" t="s">
        <v>312</v>
      </c>
      <c r="F9" s="114" t="s">
        <v>344</v>
      </c>
      <c r="G9" s="86">
        <v>2261</v>
      </c>
      <c r="H9" s="86">
        <f>F9*G9</f>
        <v>13566</v>
      </c>
    </row>
    <row r="10" spans="2:9" ht="33.75" hidden="1" customHeight="1">
      <c r="B10" s="85"/>
      <c r="C10" s="669"/>
      <c r="D10" s="670"/>
      <c r="E10" s="133"/>
      <c r="F10" s="133"/>
      <c r="G10" s="86"/>
      <c r="H10" s="86"/>
    </row>
    <row r="11" spans="2:9" ht="24" customHeight="1">
      <c r="C11" s="62" t="s">
        <v>306</v>
      </c>
      <c r="D11" s="62"/>
      <c r="E11" s="62"/>
      <c r="F11" s="62"/>
      <c r="G11" s="62"/>
      <c r="H11" s="84">
        <f>SUM(H8:H10)</f>
        <v>35112</v>
      </c>
    </row>
    <row r="12" spans="2:9">
      <c r="H12" s="54"/>
    </row>
    <row r="13" spans="2:9" ht="15.75">
      <c r="B13" s="25"/>
      <c r="C13" t="s">
        <v>331</v>
      </c>
      <c r="H13" s="54" t="s">
        <v>332</v>
      </c>
    </row>
    <row r="15" spans="2:9">
      <c r="B15">
        <v>3</v>
      </c>
      <c r="C15" s="186" t="s">
        <v>467</v>
      </c>
      <c r="D15" s="186"/>
      <c r="E15" s="186" t="s">
        <v>312</v>
      </c>
      <c r="F15" s="186">
        <v>12</v>
      </c>
      <c r="G15" s="260">
        <f>200-200/6</f>
        <v>166.66666666666666</v>
      </c>
      <c r="H15" s="186"/>
      <c r="I15" s="259" t="s">
        <v>468</v>
      </c>
    </row>
  </sheetData>
  <mergeCells count="4">
    <mergeCell ref="C6:D6"/>
    <mergeCell ref="B4:H4"/>
    <mergeCell ref="C7:D7"/>
    <mergeCell ref="C10:D10"/>
  </mergeCells>
  <pageMargins left="0.39370078740157483" right="0.39370078740157483" top="0.39370078740157483" bottom="0.39370078740157483" header="0" footer="0.3937007874015748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7"/>
  </sheetPr>
  <dimension ref="A1:T33"/>
  <sheetViews>
    <sheetView workbookViewId="0">
      <selection activeCell="A51" sqref="A1:L51"/>
    </sheetView>
  </sheetViews>
  <sheetFormatPr defaultRowHeight="12.75"/>
  <cols>
    <col min="1" max="1" width="1.28515625" customWidth="1"/>
    <col min="2" max="2" width="2.5703125" customWidth="1"/>
    <col min="3" max="3" width="33.7109375" customWidth="1"/>
    <col min="4" max="4" width="5" customWidth="1"/>
    <col min="5" max="5" width="4.42578125" customWidth="1"/>
    <col min="6" max="6" width="9.28515625" customWidth="1"/>
    <col min="7" max="7" width="13.7109375" customWidth="1"/>
    <col min="8" max="8" width="12.28515625" customWidth="1"/>
  </cols>
  <sheetData>
    <row r="1" spans="1:9">
      <c r="H1" s="50"/>
    </row>
    <row r="3" spans="1:9" ht="39.75" customHeight="1">
      <c r="B3" s="573" t="s">
        <v>645</v>
      </c>
      <c r="C3" s="573"/>
      <c r="D3" s="573"/>
      <c r="E3" s="574"/>
      <c r="F3" s="574"/>
      <c r="G3" s="574"/>
      <c r="H3" s="574"/>
    </row>
    <row r="5" spans="1:9" ht="53.25" customHeight="1">
      <c r="B5" s="56" t="s">
        <v>7</v>
      </c>
      <c r="C5" s="56" t="s">
        <v>390</v>
      </c>
      <c r="D5" s="56" t="s">
        <v>300</v>
      </c>
      <c r="E5" s="56" t="s">
        <v>299</v>
      </c>
      <c r="F5" s="56" t="s">
        <v>395</v>
      </c>
      <c r="G5" s="56" t="s">
        <v>392</v>
      </c>
      <c r="H5" s="56" t="s">
        <v>394</v>
      </c>
      <c r="I5" s="53"/>
    </row>
    <row r="6" spans="1:9" ht="20.100000000000001" customHeight="1">
      <c r="B6" s="85">
        <v>1</v>
      </c>
      <c r="C6" s="80" t="s">
        <v>5</v>
      </c>
      <c r="D6" s="82" t="s">
        <v>391</v>
      </c>
      <c r="E6" s="81">
        <v>1</v>
      </c>
      <c r="F6" s="136">
        <v>1450</v>
      </c>
      <c r="G6" s="137" t="s">
        <v>393</v>
      </c>
      <c r="H6" s="83">
        <f>F6/3</f>
        <v>483.33333333333331</v>
      </c>
    </row>
    <row r="7" spans="1:9" ht="20.100000000000001" hidden="1" customHeight="1">
      <c r="B7" s="85">
        <v>2</v>
      </c>
      <c r="C7" s="80" t="s">
        <v>317</v>
      </c>
      <c r="D7" s="82" t="s">
        <v>314</v>
      </c>
      <c r="E7" s="81">
        <v>750</v>
      </c>
      <c r="F7" s="83"/>
      <c r="G7" s="137">
        <v>12</v>
      </c>
      <c r="H7" s="83">
        <f>(E7*F7-E7*F7)*G7</f>
        <v>0</v>
      </c>
    </row>
    <row r="8" spans="1:9" ht="20.100000000000001" hidden="1" customHeight="1">
      <c r="B8" s="85">
        <v>3</v>
      </c>
      <c r="C8" s="80" t="s">
        <v>315</v>
      </c>
      <c r="D8" s="82" t="s">
        <v>314</v>
      </c>
      <c r="E8" s="81">
        <v>0</v>
      </c>
      <c r="F8" s="83"/>
      <c r="G8" s="137">
        <v>0</v>
      </c>
      <c r="H8" s="83">
        <v>0</v>
      </c>
    </row>
    <row r="9" spans="1:9" ht="20.100000000000001" hidden="1" customHeight="1">
      <c r="B9" s="85">
        <v>4</v>
      </c>
      <c r="C9" s="80" t="s">
        <v>318</v>
      </c>
      <c r="D9" s="82" t="s">
        <v>314</v>
      </c>
      <c r="E9" s="81">
        <v>100</v>
      </c>
      <c r="F9" s="83"/>
      <c r="G9" s="137">
        <v>12</v>
      </c>
      <c r="H9" s="83">
        <f>(E9*F9-E9*F9)*G9</f>
        <v>0</v>
      </c>
    </row>
    <row r="10" spans="1:9" s="245" customFormat="1" ht="20.100000000000001" customHeight="1">
      <c r="B10" s="85">
        <v>2</v>
      </c>
      <c r="C10" s="80" t="s">
        <v>264</v>
      </c>
      <c r="D10" s="82" t="s">
        <v>391</v>
      </c>
      <c r="E10" s="81">
        <v>1</v>
      </c>
      <c r="F10" s="136">
        <v>1450</v>
      </c>
      <c r="G10" s="137" t="s">
        <v>393</v>
      </c>
      <c r="H10" s="83">
        <f>F10/3</f>
        <v>483.33333333333331</v>
      </c>
    </row>
    <row r="11" spans="1:9" ht="20.100000000000001" customHeight="1">
      <c r="B11" s="334">
        <v>3</v>
      </c>
      <c r="C11" s="335" t="s">
        <v>265</v>
      </c>
      <c r="D11" s="336" t="s">
        <v>391</v>
      </c>
      <c r="E11" s="94">
        <v>1</v>
      </c>
      <c r="F11" s="337">
        <v>1450</v>
      </c>
      <c r="G11" s="55" t="s">
        <v>393</v>
      </c>
      <c r="H11" s="338">
        <f>F11/3</f>
        <v>483.33333333333331</v>
      </c>
    </row>
    <row r="12" spans="1:9" ht="20.100000000000001" hidden="1" customHeight="1">
      <c r="B12" s="85">
        <v>3</v>
      </c>
      <c r="C12" s="80" t="s">
        <v>265</v>
      </c>
      <c r="D12" s="82"/>
      <c r="E12" s="81"/>
      <c r="F12" s="136"/>
      <c r="G12" s="137"/>
      <c r="H12" s="83"/>
    </row>
    <row r="13" spans="1:9" ht="20.100000000000001" hidden="1" customHeight="1">
      <c r="B13" s="85">
        <v>3</v>
      </c>
      <c r="C13" s="80" t="s">
        <v>268</v>
      </c>
      <c r="D13" s="82"/>
      <c r="E13" s="81"/>
      <c r="F13" s="136"/>
      <c r="G13" s="142"/>
      <c r="H13" s="143"/>
      <c r="I13" s="58"/>
    </row>
    <row r="14" spans="1:9" ht="20.100000000000001" hidden="1" customHeight="1">
      <c r="A14" t="s">
        <v>305</v>
      </c>
      <c r="B14" s="59"/>
      <c r="C14" s="77"/>
      <c r="D14" s="77"/>
      <c r="E14" s="77"/>
      <c r="F14" s="78"/>
      <c r="G14" s="79"/>
      <c r="H14" s="78">
        <f t="shared" ref="H14:H29" si="0">F14*G14</f>
        <v>0</v>
      </c>
    </row>
    <row r="15" spans="1:9" ht="20.100000000000001" hidden="1" customHeight="1">
      <c r="B15" s="59"/>
      <c r="C15" s="77"/>
      <c r="D15" s="77"/>
      <c r="E15" s="77"/>
      <c r="F15" s="78"/>
      <c r="G15" s="79"/>
      <c r="H15" s="78">
        <f t="shared" si="0"/>
        <v>0</v>
      </c>
    </row>
    <row r="16" spans="1:9" ht="20.100000000000001" hidden="1" customHeight="1">
      <c r="B16" s="59"/>
      <c r="C16" s="77"/>
      <c r="D16" s="77"/>
      <c r="E16" s="77"/>
      <c r="F16" s="78"/>
      <c r="G16" s="79"/>
      <c r="H16" s="78">
        <f t="shared" si="0"/>
        <v>0</v>
      </c>
    </row>
    <row r="17" spans="2:20" hidden="1">
      <c r="B17" s="59"/>
      <c r="C17" s="77"/>
      <c r="D17" s="77"/>
      <c r="E17" s="77"/>
      <c r="F17" s="78"/>
      <c r="G17" s="79"/>
      <c r="H17" s="78">
        <f t="shared" si="0"/>
        <v>0</v>
      </c>
    </row>
    <row r="18" spans="2:20" hidden="1">
      <c r="B18" s="59"/>
      <c r="C18" s="77"/>
      <c r="D18" s="77"/>
      <c r="E18" s="77"/>
      <c r="F18" s="78"/>
      <c r="G18" s="79"/>
      <c r="H18" s="78">
        <f t="shared" si="0"/>
        <v>0</v>
      </c>
    </row>
    <row r="19" spans="2:20" hidden="1">
      <c r="B19" s="59"/>
      <c r="C19" s="77"/>
      <c r="D19" s="77"/>
      <c r="E19" s="77"/>
      <c r="F19" s="78"/>
      <c r="G19" s="79"/>
      <c r="H19" s="78">
        <f t="shared" si="0"/>
        <v>0</v>
      </c>
    </row>
    <row r="20" spans="2:20" hidden="1">
      <c r="B20" s="59"/>
      <c r="C20" s="77"/>
      <c r="D20" s="77"/>
      <c r="E20" s="77"/>
      <c r="F20" s="78"/>
      <c r="G20" s="79"/>
      <c r="H20" s="78">
        <f t="shared" si="0"/>
        <v>0</v>
      </c>
    </row>
    <row r="21" spans="2:20" hidden="1">
      <c r="B21" s="59"/>
      <c r="C21" s="77"/>
      <c r="D21" s="77"/>
      <c r="E21" s="77"/>
      <c r="F21" s="78"/>
      <c r="G21" s="79"/>
      <c r="H21" s="78">
        <f t="shared" si="0"/>
        <v>0</v>
      </c>
    </row>
    <row r="22" spans="2:20" hidden="1">
      <c r="B22" s="59"/>
      <c r="C22" s="77"/>
      <c r="D22" s="77"/>
      <c r="E22" s="77"/>
      <c r="F22" s="78"/>
      <c r="G22" s="79"/>
      <c r="H22" s="78">
        <f t="shared" si="0"/>
        <v>0</v>
      </c>
    </row>
    <row r="23" spans="2:20" hidden="1">
      <c r="B23" s="59"/>
      <c r="C23" s="77"/>
      <c r="D23" s="77"/>
      <c r="E23" s="77"/>
      <c r="F23" s="78"/>
      <c r="G23" s="79"/>
      <c r="H23" s="78">
        <f t="shared" si="0"/>
        <v>0</v>
      </c>
    </row>
    <row r="24" spans="2:20" hidden="1">
      <c r="B24" s="59"/>
      <c r="C24" s="77"/>
      <c r="D24" s="77"/>
      <c r="E24" s="77"/>
      <c r="F24" s="78"/>
      <c r="G24" s="79"/>
      <c r="H24" s="78">
        <f t="shared" si="0"/>
        <v>0</v>
      </c>
    </row>
    <row r="25" spans="2:20" hidden="1">
      <c r="B25" s="59"/>
      <c r="C25" s="77"/>
      <c r="D25" s="77"/>
      <c r="E25" s="77"/>
      <c r="F25" s="78"/>
      <c r="G25" s="79"/>
      <c r="H25" s="78">
        <f t="shared" si="0"/>
        <v>0</v>
      </c>
    </row>
    <row r="26" spans="2:20" hidden="1">
      <c r="B26" s="59"/>
      <c r="C26" s="77"/>
      <c r="D26" s="77"/>
      <c r="E26" s="77"/>
      <c r="F26" s="78"/>
      <c r="G26" s="79"/>
      <c r="H26" s="78">
        <f t="shared" si="0"/>
        <v>0</v>
      </c>
    </row>
    <row r="27" spans="2:20" hidden="1">
      <c r="B27" s="59"/>
      <c r="C27" s="77"/>
      <c r="D27" s="77"/>
      <c r="E27" s="77"/>
      <c r="F27" s="78"/>
      <c r="G27" s="79"/>
      <c r="H27" s="78">
        <f t="shared" si="0"/>
        <v>0</v>
      </c>
    </row>
    <row r="28" spans="2:20" hidden="1">
      <c r="B28" s="59"/>
      <c r="C28" s="77"/>
      <c r="D28" s="77"/>
      <c r="E28" s="77"/>
      <c r="F28" s="78"/>
      <c r="G28" s="79"/>
      <c r="H28" s="78">
        <f t="shared" si="0"/>
        <v>0</v>
      </c>
    </row>
    <row r="29" spans="2:20" hidden="1">
      <c r="B29" s="59"/>
      <c r="C29" s="77"/>
      <c r="D29" s="77"/>
      <c r="E29" s="77"/>
      <c r="F29" s="78"/>
      <c r="G29" s="79"/>
      <c r="H29" s="78">
        <f t="shared" si="0"/>
        <v>0</v>
      </c>
    </row>
    <row r="30" spans="2:20" hidden="1">
      <c r="B30" s="59"/>
      <c r="C30" s="77"/>
      <c r="D30" s="77"/>
      <c r="E30" s="77"/>
      <c r="F30" s="78"/>
      <c r="G30" s="79"/>
      <c r="H30" s="78"/>
    </row>
    <row r="31" spans="2:20" ht="30.75" customHeight="1">
      <c r="C31" s="62" t="s">
        <v>306</v>
      </c>
      <c r="D31" s="1"/>
      <c r="E31" s="1"/>
      <c r="F31" s="57"/>
      <c r="G31" s="57"/>
      <c r="H31" s="84">
        <f>SUM(H6:H30)</f>
        <v>1450</v>
      </c>
      <c r="N31" s="259" t="s">
        <v>646</v>
      </c>
      <c r="O31" s="259"/>
      <c r="P31" s="259"/>
      <c r="Q31" s="259"/>
      <c r="R31" s="259"/>
      <c r="S31" s="259"/>
      <c r="T31" s="259"/>
    </row>
    <row r="32" spans="2:20">
      <c r="F32" s="54"/>
      <c r="G32" s="54"/>
      <c r="H32" s="54"/>
    </row>
    <row r="33" spans="2:8" ht="64.5" customHeight="1">
      <c r="B33" t="s">
        <v>331</v>
      </c>
      <c r="F33" s="54"/>
      <c r="G33" s="54"/>
      <c r="H33" s="54" t="s">
        <v>332</v>
      </c>
    </row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7"/>
  </sheetPr>
  <dimension ref="B1:AB36"/>
  <sheetViews>
    <sheetView zoomScale="80" zoomScaleNormal="80" workbookViewId="0">
      <selection activeCell="G25" sqref="G25"/>
    </sheetView>
  </sheetViews>
  <sheetFormatPr defaultRowHeight="12.75"/>
  <cols>
    <col min="1" max="1" width="2.42578125" style="38" customWidth="1"/>
    <col min="2" max="2" width="28.85546875" style="38" customWidth="1"/>
    <col min="3" max="3" width="17.5703125" style="38" customWidth="1"/>
    <col min="4" max="4" width="13.7109375" style="38" hidden="1" customWidth="1"/>
    <col min="5" max="5" width="1.42578125" style="38" hidden="1" customWidth="1"/>
    <col min="6" max="6" width="15.7109375" style="38" customWidth="1"/>
    <col min="7" max="7" width="13.7109375" style="38" customWidth="1"/>
    <col min="8" max="8" width="17.28515625" style="38" bestFit="1" customWidth="1"/>
    <col min="9" max="20" width="14" style="38" customWidth="1"/>
    <col min="21" max="16384" width="9.140625" style="38"/>
  </cols>
  <sheetData>
    <row r="1" spans="2:20">
      <c r="H1" s="50"/>
    </row>
    <row r="3" spans="2:20" ht="15.75">
      <c r="B3" s="671" t="s">
        <v>647</v>
      </c>
      <c r="C3" s="671"/>
      <c r="D3" s="671"/>
      <c r="E3" s="671"/>
      <c r="F3" s="671"/>
      <c r="G3" s="671"/>
      <c r="H3" s="671"/>
    </row>
    <row r="4" spans="2:20" ht="6" customHeight="1">
      <c r="B4" s="25"/>
      <c r="C4" s="25"/>
      <c r="D4" s="25"/>
      <c r="E4" s="25"/>
      <c r="F4" s="25"/>
      <c r="G4" s="25"/>
      <c r="H4" s="25"/>
    </row>
    <row r="5" spans="2:20" ht="31.5">
      <c r="B5" s="134" t="s">
        <v>648</v>
      </c>
      <c r="C5" s="312" t="s">
        <v>383</v>
      </c>
      <c r="D5" s="312"/>
      <c r="E5" s="384">
        <v>4723</v>
      </c>
      <c r="F5" s="384"/>
      <c r="G5" s="312" t="s">
        <v>745</v>
      </c>
      <c r="H5" s="25"/>
    </row>
    <row r="6" spans="2:20" ht="15.75">
      <c r="C6" s="312" t="s">
        <v>384</v>
      </c>
      <c r="D6" s="312"/>
      <c r="E6" s="312">
        <v>28.31</v>
      </c>
      <c r="F6" s="312"/>
      <c r="G6" s="312" t="s">
        <v>746</v>
      </c>
      <c r="H6" s="25"/>
    </row>
    <row r="7" spans="2:20" ht="16.5" thickBot="1">
      <c r="B7" s="25"/>
      <c r="C7" s="25"/>
      <c r="D7" s="25"/>
      <c r="E7" s="25"/>
      <c r="F7" s="25"/>
      <c r="G7" s="25"/>
      <c r="H7" s="25"/>
    </row>
    <row r="8" spans="2:20" ht="89.25" customHeight="1">
      <c r="B8" s="266" t="s">
        <v>257</v>
      </c>
      <c r="C8" s="267" t="s">
        <v>260</v>
      </c>
      <c r="D8" s="267" t="s">
        <v>293</v>
      </c>
      <c r="E8" s="267" t="s">
        <v>294</v>
      </c>
      <c r="F8" s="33" t="s">
        <v>372</v>
      </c>
      <c r="G8" s="267" t="s">
        <v>292</v>
      </c>
      <c r="H8" s="268" t="s">
        <v>653</v>
      </c>
      <c r="I8" s="358">
        <v>1</v>
      </c>
      <c r="J8" s="359">
        <v>2</v>
      </c>
      <c r="K8" s="359">
        <v>3</v>
      </c>
      <c r="L8" s="359">
        <v>4</v>
      </c>
      <c r="M8" s="359">
        <v>5</v>
      </c>
      <c r="N8" s="359">
        <v>6</v>
      </c>
      <c r="O8" s="359">
        <v>7</v>
      </c>
      <c r="P8" s="359">
        <v>8</v>
      </c>
      <c r="Q8" s="359">
        <v>9</v>
      </c>
      <c r="R8" s="359">
        <v>10</v>
      </c>
      <c r="S8" s="359">
        <v>11</v>
      </c>
      <c r="T8" s="359">
        <v>12</v>
      </c>
    </row>
    <row r="9" spans="2:20" ht="15.75">
      <c r="B9" s="269" t="s">
        <v>261</v>
      </c>
      <c r="C9" s="26"/>
      <c r="D9" s="356"/>
      <c r="E9" s="356"/>
      <c r="F9" s="520"/>
      <c r="G9" s="356"/>
      <c r="H9" s="270"/>
    </row>
    <row r="10" spans="2:20" ht="15.75">
      <c r="B10" s="271" t="s">
        <v>5</v>
      </c>
      <c r="C10" s="34">
        <v>1</v>
      </c>
      <c r="D10" s="45">
        <v>5604.5</v>
      </c>
      <c r="E10" s="45">
        <v>4819</v>
      </c>
      <c r="F10" s="45">
        <v>16750</v>
      </c>
      <c r="G10" s="45">
        <v>16750</v>
      </c>
      <c r="H10" s="272">
        <f t="shared" ref="H10:H17" si="0">G10*12</f>
        <v>201000</v>
      </c>
      <c r="I10" s="265">
        <v>16750</v>
      </c>
      <c r="J10" s="265">
        <v>16750</v>
      </c>
      <c r="K10" s="265">
        <v>16750</v>
      </c>
      <c r="L10" s="265">
        <v>16750</v>
      </c>
      <c r="M10" s="265">
        <v>16750</v>
      </c>
      <c r="N10" s="265">
        <v>16750</v>
      </c>
      <c r="O10" s="265">
        <v>16750</v>
      </c>
      <c r="P10" s="265">
        <v>16750</v>
      </c>
      <c r="Q10" s="265">
        <v>16750</v>
      </c>
      <c r="R10" s="265">
        <v>16750</v>
      </c>
      <c r="S10" s="265">
        <v>16750</v>
      </c>
      <c r="T10" s="265">
        <v>16750</v>
      </c>
    </row>
    <row r="11" spans="2:20" ht="15.75">
      <c r="B11" s="271" t="s">
        <v>470</v>
      </c>
      <c r="C11" s="34">
        <v>1</v>
      </c>
      <c r="D11" s="45">
        <v>4673.8599999999997</v>
      </c>
      <c r="E11" s="45">
        <v>3014</v>
      </c>
      <c r="F11" s="45">
        <v>10000</v>
      </c>
      <c r="G11" s="45">
        <v>10000</v>
      </c>
      <c r="H11" s="272">
        <f t="shared" si="0"/>
        <v>120000</v>
      </c>
      <c r="I11" s="265">
        <v>10000</v>
      </c>
      <c r="J11" s="265">
        <v>10000</v>
      </c>
      <c r="K11" s="265">
        <v>10000</v>
      </c>
      <c r="L11" s="265">
        <v>10000</v>
      </c>
      <c r="M11" s="265">
        <v>10000</v>
      </c>
      <c r="N11" s="265">
        <v>10000</v>
      </c>
      <c r="O11" s="265">
        <v>10000</v>
      </c>
      <c r="P11" s="265">
        <v>10000</v>
      </c>
      <c r="Q11" s="265">
        <v>10000</v>
      </c>
      <c r="R11" s="265">
        <v>10000</v>
      </c>
      <c r="S11" s="265">
        <v>10000</v>
      </c>
      <c r="T11" s="265">
        <v>10000</v>
      </c>
    </row>
    <row r="12" spans="2:20" ht="31.5">
      <c r="B12" s="273" t="s">
        <v>263</v>
      </c>
      <c r="C12" s="352">
        <v>0.5</v>
      </c>
      <c r="D12" s="45">
        <v>2336.9299999999998</v>
      </c>
      <c r="E12" s="45"/>
      <c r="F12" s="45">
        <v>12000</v>
      </c>
      <c r="G12" s="45">
        <f>C12*F12</f>
        <v>6000</v>
      </c>
      <c r="H12" s="272">
        <f t="shared" si="0"/>
        <v>72000</v>
      </c>
      <c r="I12" s="265">
        <v>6000</v>
      </c>
      <c r="J12" s="265">
        <v>6000</v>
      </c>
      <c r="K12" s="265">
        <v>6000</v>
      </c>
      <c r="L12" s="265">
        <v>6000</v>
      </c>
      <c r="M12" s="265">
        <v>6000</v>
      </c>
      <c r="N12" s="265">
        <v>6000</v>
      </c>
      <c r="O12" s="265">
        <v>6000</v>
      </c>
      <c r="P12" s="265">
        <v>6000</v>
      </c>
      <c r="Q12" s="265">
        <v>6000</v>
      </c>
      <c r="R12" s="265">
        <v>6000</v>
      </c>
      <c r="S12" s="265">
        <v>6000</v>
      </c>
      <c r="T12" s="265">
        <v>6000</v>
      </c>
    </row>
    <row r="13" spans="2:20" ht="15.75">
      <c r="B13" s="274" t="s">
        <v>264</v>
      </c>
      <c r="C13" s="42">
        <v>1</v>
      </c>
      <c r="D13" s="65">
        <v>4337.99</v>
      </c>
      <c r="E13" s="65">
        <v>2798</v>
      </c>
      <c r="F13" s="65">
        <v>9680</v>
      </c>
      <c r="G13" s="65">
        <v>9680</v>
      </c>
      <c r="H13" s="339">
        <f t="shared" si="0"/>
        <v>116160</v>
      </c>
      <c r="I13" s="265">
        <v>9680</v>
      </c>
      <c r="J13" s="265">
        <v>9680</v>
      </c>
      <c r="K13" s="265">
        <v>9680</v>
      </c>
      <c r="L13" s="265">
        <v>9680</v>
      </c>
      <c r="M13" s="265">
        <v>9680</v>
      </c>
      <c r="N13" s="265">
        <v>9680</v>
      </c>
      <c r="O13" s="265">
        <v>9680</v>
      </c>
      <c r="P13" s="265">
        <v>9680</v>
      </c>
      <c r="Q13" s="265">
        <v>9680</v>
      </c>
      <c r="R13" s="265">
        <v>9680</v>
      </c>
      <c r="S13" s="265">
        <v>9680</v>
      </c>
      <c r="T13" s="265">
        <v>9680</v>
      </c>
    </row>
    <row r="14" spans="2:20" ht="15.75">
      <c r="B14" s="340" t="s">
        <v>265</v>
      </c>
      <c r="C14" s="212">
        <v>1</v>
      </c>
      <c r="D14" s="213">
        <v>3723</v>
      </c>
      <c r="E14" s="213">
        <v>2792</v>
      </c>
      <c r="F14" s="213">
        <v>8400</v>
      </c>
      <c r="G14" s="213">
        <v>8400</v>
      </c>
      <c r="H14" s="341">
        <f t="shared" si="0"/>
        <v>100800</v>
      </c>
      <c r="I14" s="265">
        <v>8400</v>
      </c>
      <c r="J14" s="265">
        <v>8400</v>
      </c>
      <c r="K14" s="265">
        <v>8400</v>
      </c>
      <c r="L14" s="265">
        <v>8400</v>
      </c>
      <c r="M14" s="265">
        <v>8400</v>
      </c>
      <c r="N14" s="265">
        <v>8400</v>
      </c>
      <c r="O14" s="265">
        <v>8400</v>
      </c>
      <c r="P14" s="265">
        <v>8400</v>
      </c>
      <c r="Q14" s="265">
        <v>8400</v>
      </c>
      <c r="R14" s="265">
        <v>8400</v>
      </c>
      <c r="S14" s="265">
        <v>8400</v>
      </c>
      <c r="T14" s="265">
        <v>8400</v>
      </c>
    </row>
    <row r="15" spans="2:20" ht="22.5" customHeight="1">
      <c r="B15" s="340" t="s">
        <v>649</v>
      </c>
      <c r="C15" s="212">
        <v>1</v>
      </c>
      <c r="D15" s="213"/>
      <c r="E15" s="213"/>
      <c r="F15" s="213">
        <v>12000</v>
      </c>
      <c r="G15" s="213">
        <v>12000</v>
      </c>
      <c r="H15" s="341">
        <f t="shared" si="0"/>
        <v>144000</v>
      </c>
      <c r="I15" s="129">
        <v>12000</v>
      </c>
      <c r="J15" s="129">
        <v>12000</v>
      </c>
      <c r="K15" s="129">
        <v>12000</v>
      </c>
      <c r="L15" s="129">
        <v>12000</v>
      </c>
      <c r="M15" s="129">
        <v>12000</v>
      </c>
      <c r="N15" s="129">
        <v>12000</v>
      </c>
      <c r="O15" s="129">
        <v>12000</v>
      </c>
      <c r="P15" s="129">
        <v>12000</v>
      </c>
      <c r="Q15" s="129">
        <v>12000</v>
      </c>
      <c r="R15" s="129">
        <v>12000</v>
      </c>
      <c r="S15" s="129">
        <v>12000</v>
      </c>
      <c r="T15" s="129">
        <v>12000</v>
      </c>
    </row>
    <row r="16" spans="2:20" ht="22.5" customHeight="1">
      <c r="B16" s="360" t="s">
        <v>651</v>
      </c>
      <c r="C16" s="361">
        <v>1</v>
      </c>
      <c r="D16" s="360"/>
      <c r="E16" s="360"/>
      <c r="F16" s="521">
        <v>10000</v>
      </c>
      <c r="G16" s="521">
        <v>10000</v>
      </c>
      <c r="H16" s="521">
        <f t="shared" si="0"/>
        <v>120000</v>
      </c>
      <c r="I16" s="129">
        <v>10000</v>
      </c>
      <c r="J16" s="129">
        <v>10000</v>
      </c>
      <c r="K16" s="129">
        <v>10000</v>
      </c>
      <c r="L16" s="129">
        <v>10000</v>
      </c>
      <c r="M16" s="129">
        <v>10000</v>
      </c>
      <c r="N16" s="129">
        <v>10000</v>
      </c>
      <c r="O16" s="129">
        <v>10000</v>
      </c>
      <c r="P16" s="129">
        <v>10000</v>
      </c>
      <c r="Q16" s="129">
        <v>10000</v>
      </c>
      <c r="R16" s="129">
        <v>10000</v>
      </c>
      <c r="S16" s="129">
        <v>10000</v>
      </c>
      <c r="T16" s="129">
        <v>10000</v>
      </c>
    </row>
    <row r="17" spans="2:28" ht="20.25" customHeight="1">
      <c r="B17" s="342" t="s">
        <v>650</v>
      </c>
      <c r="C17" s="361">
        <v>1</v>
      </c>
      <c r="D17" s="360"/>
      <c r="E17" s="360"/>
      <c r="F17" s="521">
        <v>6875</v>
      </c>
      <c r="G17" s="521">
        <v>6875</v>
      </c>
      <c r="H17" s="521">
        <f t="shared" si="0"/>
        <v>82500</v>
      </c>
      <c r="I17" s="129">
        <v>6875</v>
      </c>
      <c r="J17" s="129">
        <v>6875</v>
      </c>
      <c r="K17" s="129">
        <v>6875</v>
      </c>
      <c r="L17" s="129">
        <v>6875</v>
      </c>
      <c r="M17" s="129">
        <v>6875</v>
      </c>
      <c r="N17" s="129">
        <v>6875</v>
      </c>
      <c r="O17" s="129">
        <v>6875</v>
      </c>
      <c r="P17" s="129">
        <v>6875</v>
      </c>
      <c r="Q17" s="129">
        <v>6875</v>
      </c>
      <c r="R17" s="129">
        <v>6875</v>
      </c>
      <c r="S17" s="129">
        <v>6875</v>
      </c>
      <c r="T17" s="129">
        <v>6875</v>
      </c>
    </row>
    <row r="18" spans="2:28" ht="15.75">
      <c r="B18" s="344" t="s">
        <v>266</v>
      </c>
      <c r="C18" s="345">
        <f>SUM(C10:C17)</f>
        <v>7.5</v>
      </c>
      <c r="D18" s="346"/>
      <c r="E18" s="346"/>
      <c r="F18" s="346"/>
      <c r="G18" s="346">
        <f>SUM(G10:G17)</f>
        <v>79705</v>
      </c>
      <c r="H18" s="347">
        <f>SUM(H10:H17)</f>
        <v>956460</v>
      </c>
      <c r="I18" s="129"/>
    </row>
    <row r="19" spans="2:28" ht="15.75">
      <c r="B19" s="269" t="s">
        <v>267</v>
      </c>
      <c r="C19" s="34"/>
      <c r="D19" s="45"/>
      <c r="E19" s="45"/>
      <c r="F19" s="45"/>
      <c r="G19" s="45"/>
      <c r="H19" s="343"/>
      <c r="I19" s="129"/>
    </row>
    <row r="20" spans="2:28" ht="15.75">
      <c r="B20" s="271" t="s">
        <v>268</v>
      </c>
      <c r="C20" s="34">
        <v>4</v>
      </c>
      <c r="D20" s="45">
        <v>22.41</v>
      </c>
      <c r="E20" s="45"/>
      <c r="F20" s="45">
        <v>29.2</v>
      </c>
      <c r="G20" s="450">
        <f>H20/6</f>
        <v>24446.240000000002</v>
      </c>
      <c r="H20" s="272">
        <f>29.2*24*182+29.2*0.2*4*182+29.2*0.35*8*182</f>
        <v>146677.44</v>
      </c>
      <c r="I20" s="265">
        <f>31*29.2*(24+0.2*4+0.35*8)</f>
        <v>24983.52</v>
      </c>
      <c r="J20" s="264">
        <f>28*29.2*(24+0.2*4+0.35*8)</f>
        <v>22565.760000000002</v>
      </c>
      <c r="K20" s="264">
        <f>31*29.2*(24+0.2*4+0.35*8)</f>
        <v>24983.52</v>
      </c>
      <c r="L20" s="264">
        <f>15*29.2*(24+0.2*4+0.35*8)</f>
        <v>12088.800000000001</v>
      </c>
      <c r="R20" s="264">
        <f>16*29.2*(24+0.2*4+0.35*8)</f>
        <v>12894.720000000001</v>
      </c>
      <c r="S20" s="264">
        <f>30*29.2*(24+0.2*4+0.35*8)</f>
        <v>24177.600000000002</v>
      </c>
      <c r="T20" s="264">
        <f>31*29.2*(24+0.2*4+0.35*8)</f>
        <v>24983.52</v>
      </c>
    </row>
    <row r="21" spans="2:28" ht="15.75">
      <c r="B21" s="271" t="s">
        <v>269</v>
      </c>
      <c r="C21" s="34">
        <v>0.5</v>
      </c>
      <c r="D21" s="45">
        <v>3723</v>
      </c>
      <c r="E21" s="45"/>
      <c r="F21" s="45">
        <v>6000</v>
      </c>
      <c r="G21" s="450">
        <v>3000</v>
      </c>
      <c r="H21" s="272">
        <f>G21*12</f>
        <v>36000</v>
      </c>
      <c r="I21" s="265">
        <v>3000</v>
      </c>
      <c r="J21" s="264">
        <v>3000</v>
      </c>
      <c r="K21" s="264">
        <v>3000</v>
      </c>
      <c r="L21" s="264">
        <v>3000</v>
      </c>
      <c r="M21" s="264">
        <v>3000</v>
      </c>
      <c r="N21" s="264">
        <v>3000</v>
      </c>
      <c r="O21" s="264">
        <v>3000</v>
      </c>
      <c r="P21" s="264">
        <v>3000</v>
      </c>
      <c r="Q21" s="264">
        <v>3000</v>
      </c>
      <c r="R21" s="264">
        <v>3000</v>
      </c>
      <c r="S21" s="264">
        <v>3000</v>
      </c>
      <c r="T21" s="264">
        <v>3000</v>
      </c>
    </row>
    <row r="22" spans="2:28" ht="15.75">
      <c r="B22" s="353" t="s">
        <v>266</v>
      </c>
      <c r="C22" s="354">
        <f>C21+C20</f>
        <v>4.5</v>
      </c>
      <c r="D22" s="313"/>
      <c r="E22" s="313"/>
      <c r="F22" s="313"/>
      <c r="G22" s="313">
        <f>SUM(G20:G21)</f>
        <v>27446.240000000002</v>
      </c>
      <c r="H22" s="355">
        <f>SUM(H20:H21)</f>
        <v>182677.44</v>
      </c>
      <c r="I22" s="265"/>
      <c r="W22" s="383"/>
    </row>
    <row r="23" spans="2:28" ht="16.5" thickBot="1">
      <c r="B23" s="274" t="s">
        <v>271</v>
      </c>
      <c r="C23" s="42">
        <v>4</v>
      </c>
      <c r="D23" s="65"/>
      <c r="E23" s="65"/>
      <c r="F23" s="65"/>
      <c r="G23" s="65">
        <f>G20</f>
        <v>24446.240000000002</v>
      </c>
      <c r="H23" s="275">
        <f>H20</f>
        <v>146677.44</v>
      </c>
      <c r="I23" s="265"/>
    </row>
    <row r="24" spans="2:28" ht="16.5" thickBot="1">
      <c r="B24" s="348" t="s">
        <v>1</v>
      </c>
      <c r="C24" s="349">
        <f>C22+C18</f>
        <v>12</v>
      </c>
      <c r="D24" s="350"/>
      <c r="E24" s="350"/>
      <c r="F24" s="350"/>
      <c r="G24" s="350">
        <f>G18+G22</f>
        <v>107151.24</v>
      </c>
      <c r="H24" s="351">
        <f>H18+H22</f>
        <v>1139137.44</v>
      </c>
      <c r="I24" s="363">
        <f t="shared" ref="I24:T24" si="1">SUM(I10:I21)</f>
        <v>107688.52</v>
      </c>
      <c r="J24" s="364">
        <f t="shared" si="1"/>
        <v>105270.76000000001</v>
      </c>
      <c r="K24" s="364">
        <f t="shared" si="1"/>
        <v>107688.52</v>
      </c>
      <c r="L24" s="364">
        <f t="shared" si="1"/>
        <v>94793.8</v>
      </c>
      <c r="M24" s="364">
        <f t="shared" si="1"/>
        <v>82705</v>
      </c>
      <c r="N24" s="364">
        <f t="shared" si="1"/>
        <v>82705</v>
      </c>
      <c r="O24" s="364">
        <f t="shared" si="1"/>
        <v>82705</v>
      </c>
      <c r="P24" s="364">
        <f t="shared" si="1"/>
        <v>82705</v>
      </c>
      <c r="Q24" s="364">
        <f t="shared" si="1"/>
        <v>82705</v>
      </c>
      <c r="R24" s="364">
        <f t="shared" si="1"/>
        <v>95599.72</v>
      </c>
      <c r="S24" s="364">
        <f t="shared" si="1"/>
        <v>106882.6</v>
      </c>
      <c r="T24" s="364">
        <f t="shared" si="1"/>
        <v>107688.52</v>
      </c>
    </row>
    <row r="25" spans="2:28" ht="21.75" customHeight="1" thickBot="1">
      <c r="B25" s="276"/>
      <c r="C25" s="277" t="s">
        <v>652</v>
      </c>
      <c r="D25" s="277"/>
      <c r="E25" s="277"/>
      <c r="F25" s="277"/>
      <c r="G25" s="277"/>
      <c r="H25" s="278"/>
    </row>
    <row r="27" spans="2:28" ht="11.25" customHeight="1"/>
    <row r="28" spans="2:28" hidden="1">
      <c r="E28" s="38" t="s">
        <v>386</v>
      </c>
      <c r="Y28" s="37" t="s">
        <v>285</v>
      </c>
    </row>
    <row r="29" spans="2:28" hidden="1">
      <c r="E29" s="38" t="s">
        <v>387</v>
      </c>
      <c r="Y29" s="38" t="s">
        <v>385</v>
      </c>
      <c r="AB29" s="38" t="s">
        <v>287</v>
      </c>
    </row>
    <row r="30" spans="2:28" ht="15.75" hidden="1">
      <c r="B30" s="25"/>
      <c r="C30" s="25"/>
      <c r="D30" s="25"/>
      <c r="E30" s="25"/>
      <c r="F30" s="25"/>
      <c r="G30" s="25"/>
      <c r="H30" s="25"/>
    </row>
    <row r="31" spans="2:28" ht="15.75" hidden="1">
      <c r="B31" s="25"/>
      <c r="C31" s="25"/>
      <c r="D31" s="25"/>
      <c r="E31" s="25"/>
      <c r="F31" s="25"/>
      <c r="G31" s="25"/>
      <c r="H31" s="25"/>
    </row>
    <row r="32" spans="2:28" ht="15.75">
      <c r="B32" s="25" t="s">
        <v>291</v>
      </c>
      <c r="C32" s="25"/>
      <c r="D32" s="25"/>
      <c r="E32" s="25"/>
      <c r="F32" s="25"/>
      <c r="G32" s="25"/>
      <c r="H32" s="68">
        <f>H24</f>
        <v>1139137.44</v>
      </c>
    </row>
    <row r="33" spans="2:17" ht="15.75">
      <c r="B33" s="25" t="s">
        <v>308</v>
      </c>
      <c r="C33" s="25"/>
      <c r="D33" s="25"/>
      <c r="E33" s="25"/>
      <c r="F33" s="25"/>
      <c r="G33" s="25"/>
      <c r="H33" s="68">
        <f>H32*22/100</f>
        <v>250610.23679999998</v>
      </c>
    </row>
    <row r="34" spans="2:17" ht="15.75">
      <c r="B34" s="25"/>
      <c r="C34" s="25"/>
      <c r="D34" s="25"/>
      <c r="E34" s="25"/>
      <c r="F34" s="25"/>
      <c r="G34" s="25"/>
      <c r="H34" s="25"/>
      <c r="L34" s="672"/>
      <c r="M34" s="672"/>
      <c r="N34" s="672"/>
      <c r="O34" s="672"/>
      <c r="P34" s="672"/>
      <c r="Q34" s="672"/>
    </row>
    <row r="35" spans="2:17" ht="15.75">
      <c r="B35" s="25"/>
      <c r="C35" s="69"/>
      <c r="D35" s="25"/>
      <c r="E35" s="25"/>
      <c r="F35" s="25"/>
      <c r="G35" s="25"/>
      <c r="H35" s="25"/>
      <c r="L35" s="672"/>
      <c r="M35" s="672"/>
      <c r="N35" s="672"/>
      <c r="O35" s="672"/>
      <c r="P35" s="672"/>
      <c r="Q35" s="672"/>
    </row>
    <row r="36" spans="2:17" ht="16.5">
      <c r="B36" s="522" t="s">
        <v>331</v>
      </c>
      <c r="C36" s="522"/>
      <c r="D36" s="522"/>
      <c r="E36" s="522"/>
      <c r="F36" s="522"/>
      <c r="G36" s="523"/>
      <c r="H36" s="523" t="s">
        <v>332</v>
      </c>
      <c r="L36" s="672"/>
      <c r="M36" s="672"/>
      <c r="N36" s="672"/>
      <c r="O36" s="672"/>
      <c r="P36" s="672"/>
      <c r="Q36" s="672"/>
    </row>
  </sheetData>
  <sheetProtection selectLockedCells="1" selectUnlockedCells="1"/>
  <mergeCells count="2">
    <mergeCell ref="B3:H3"/>
    <mergeCell ref="L34:Q36"/>
  </mergeCells>
  <pageMargins left="0.39370078740157483" right="0.19685039370078741" top="0.74803149606299213" bottom="0.74803149606299213" header="0.51181102362204722" footer="0.51181102362204722"/>
  <pageSetup paperSize="9" scale="52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B1:T44"/>
  <sheetViews>
    <sheetView topLeftCell="A13" workbookViewId="0">
      <selection activeCell="G25" sqref="G25"/>
    </sheetView>
  </sheetViews>
  <sheetFormatPr defaultRowHeight="12.75"/>
  <cols>
    <col min="1" max="1" width="6" style="245" customWidth="1"/>
    <col min="2" max="2" width="37.85546875" style="245" customWidth="1"/>
    <col min="3" max="3" width="9.42578125" style="245" customWidth="1"/>
    <col min="4" max="4" width="12.85546875" style="245" customWidth="1"/>
    <col min="5" max="5" width="15" style="245" customWidth="1"/>
    <col min="6" max="6" width="15.85546875" style="245" customWidth="1"/>
    <col min="7" max="7" width="19.28515625" style="245" customWidth="1"/>
    <col min="8" max="8" width="2.5703125" style="245" customWidth="1"/>
    <col min="9" max="9" width="40.5703125" style="245" customWidth="1"/>
    <col min="10" max="10" width="13.28515625" style="245" customWidth="1"/>
    <col min="11" max="11" width="14.28515625" style="245" customWidth="1"/>
    <col min="12" max="12" width="9.140625" style="245"/>
    <col min="13" max="13" width="2.28515625" style="245" customWidth="1"/>
    <col min="14" max="14" width="43" style="245" customWidth="1"/>
    <col min="15" max="15" width="12.28515625" style="245" customWidth="1"/>
    <col min="16" max="16" width="9.42578125" style="245" customWidth="1"/>
    <col min="17" max="17" width="13.5703125" style="245" customWidth="1"/>
    <col min="18" max="18" width="11.7109375" style="245" hidden="1" customWidth="1"/>
    <col min="19" max="19" width="14.140625" style="245" customWidth="1"/>
    <col min="20" max="16384" width="9.140625" style="245"/>
  </cols>
  <sheetData>
    <row r="1" spans="2:20" ht="15.75">
      <c r="D1" s="25" t="s">
        <v>368</v>
      </c>
      <c r="E1" s="25"/>
      <c r="F1" s="25"/>
      <c r="Q1" s="245" t="s">
        <v>368</v>
      </c>
    </row>
    <row r="2" spans="2:20" ht="15.75">
      <c r="D2" s="25" t="s">
        <v>655</v>
      </c>
      <c r="E2" s="25"/>
      <c r="F2" s="25"/>
    </row>
    <row r="3" spans="2:20" ht="15.75">
      <c r="D3" s="25" t="s">
        <v>747</v>
      </c>
      <c r="E3" s="25"/>
      <c r="F3" s="25"/>
    </row>
    <row r="4" spans="2:20" ht="30" customHeight="1">
      <c r="D4" s="674" t="s">
        <v>751</v>
      </c>
      <c r="E4" s="674"/>
      <c r="F4" s="674"/>
    </row>
    <row r="5" spans="2:20" ht="15.75">
      <c r="D5" s="25"/>
      <c r="E5" s="25"/>
      <c r="F5" s="25"/>
    </row>
    <row r="6" spans="2:20" ht="15.75">
      <c r="D6" s="25" t="s">
        <v>279</v>
      </c>
      <c r="E6" s="380"/>
      <c r="F6" s="25" t="s">
        <v>332</v>
      </c>
      <c r="P6" s="245" t="s">
        <v>279</v>
      </c>
      <c r="R6" s="125"/>
      <c r="S6" s="245" t="s">
        <v>332</v>
      </c>
    </row>
    <row r="7" spans="2:20" ht="15.75">
      <c r="D7" s="25"/>
      <c r="E7" s="69"/>
      <c r="F7" s="25"/>
      <c r="P7" s="245" t="s">
        <v>369</v>
      </c>
      <c r="R7" s="185"/>
    </row>
    <row r="8" spans="2:20" ht="15.75">
      <c r="D8" s="25"/>
      <c r="E8" s="69"/>
      <c r="F8" s="25"/>
      <c r="R8" s="185"/>
    </row>
    <row r="9" spans="2:20" ht="15.75">
      <c r="D9" s="25" t="s">
        <v>6</v>
      </c>
      <c r="E9" s="25"/>
      <c r="F9" s="25"/>
      <c r="G9" s="50"/>
      <c r="H9" s="50"/>
      <c r="P9" s="245" t="s">
        <v>6</v>
      </c>
    </row>
    <row r="10" spans="2:20" ht="27" customHeight="1">
      <c r="O10" s="222" t="s">
        <v>458</v>
      </c>
      <c r="P10" s="186"/>
      <c r="Q10" s="2"/>
    </row>
    <row r="11" spans="2:20" ht="15.75">
      <c r="B11" s="671" t="s">
        <v>469</v>
      </c>
      <c r="C11" s="671"/>
      <c r="D11" s="671"/>
      <c r="E11" s="671"/>
      <c r="F11" s="671"/>
      <c r="G11" s="671"/>
      <c r="H11" s="369"/>
      <c r="N11" s="671" t="s">
        <v>370</v>
      </c>
      <c r="O11" s="671"/>
      <c r="P11" s="671"/>
      <c r="Q11" s="671"/>
      <c r="R11" s="671"/>
      <c r="S11" s="671"/>
      <c r="T11" s="671"/>
    </row>
    <row r="12" spans="2:20" ht="15.75">
      <c r="B12" s="671" t="s">
        <v>278</v>
      </c>
      <c r="C12" s="671"/>
      <c r="D12" s="671"/>
      <c r="E12" s="671"/>
      <c r="F12" s="671"/>
      <c r="G12" s="671"/>
      <c r="H12" s="369"/>
    </row>
    <row r="13" spans="2:20" ht="15.75">
      <c r="B13" s="25"/>
      <c r="C13" s="25"/>
      <c r="D13" s="25"/>
      <c r="E13" s="25"/>
      <c r="F13" s="25"/>
      <c r="G13" s="25"/>
      <c r="H13" s="25"/>
      <c r="N13" s="25"/>
      <c r="O13" s="25"/>
      <c r="P13" s="25"/>
      <c r="Q13" s="25"/>
      <c r="R13" s="25"/>
      <c r="S13" s="25"/>
    </row>
    <row r="14" spans="2:20" ht="66" customHeight="1">
      <c r="B14" s="34" t="s">
        <v>257</v>
      </c>
      <c r="C14" s="33" t="s">
        <v>371</v>
      </c>
      <c r="D14" s="33" t="s">
        <v>372</v>
      </c>
      <c r="E14" s="33" t="s">
        <v>373</v>
      </c>
      <c r="F14" s="33" t="s">
        <v>663</v>
      </c>
      <c r="G14" s="33" t="s">
        <v>662</v>
      </c>
      <c r="H14" s="206"/>
      <c r="J14" s="193" t="s">
        <v>442</v>
      </c>
      <c r="K14" s="193" t="s">
        <v>443</v>
      </c>
      <c r="N14" s="42" t="s">
        <v>257</v>
      </c>
      <c r="O14" s="42" t="s">
        <v>462</v>
      </c>
      <c r="P14" s="188" t="s">
        <v>371</v>
      </c>
      <c r="Q14" s="188" t="s">
        <v>460</v>
      </c>
      <c r="R14" s="224" t="s">
        <v>373</v>
      </c>
      <c r="S14" s="188" t="s">
        <v>258</v>
      </c>
    </row>
    <row r="15" spans="2:20" ht="26.25" customHeight="1">
      <c r="B15" s="673" t="s">
        <v>374</v>
      </c>
      <c r="C15" s="673"/>
      <c r="D15" s="673"/>
      <c r="E15" s="673"/>
      <c r="F15" s="673"/>
      <c r="G15" s="673"/>
      <c r="H15" s="370"/>
      <c r="I15" s="215" t="s">
        <v>451</v>
      </c>
      <c r="J15" s="216">
        <v>14286</v>
      </c>
      <c r="K15" s="216">
        <v>51020</v>
      </c>
      <c r="L15" s="194"/>
      <c r="M15" s="199"/>
      <c r="N15" s="225" t="s">
        <v>5</v>
      </c>
      <c r="O15" s="212" t="s">
        <v>464</v>
      </c>
      <c r="P15" s="229">
        <v>1</v>
      </c>
      <c r="Q15" s="190">
        <v>14400</v>
      </c>
      <c r="R15" s="214"/>
      <c r="S15" s="190">
        <f>Q15+R15</f>
        <v>14400</v>
      </c>
    </row>
    <row r="16" spans="2:20" ht="30.75" customHeight="1">
      <c r="B16" s="367" t="s">
        <v>5</v>
      </c>
      <c r="C16" s="34">
        <v>1</v>
      </c>
      <c r="D16" s="45">
        <v>16750</v>
      </c>
      <c r="E16" s="45"/>
      <c r="F16" s="45">
        <f>D16+E16</f>
        <v>16750</v>
      </c>
      <c r="G16" s="63">
        <f>F16*12</f>
        <v>201000</v>
      </c>
      <c r="H16" s="129"/>
      <c r="I16" s="200" t="s">
        <v>264</v>
      </c>
      <c r="J16" s="195" t="s">
        <v>444</v>
      </c>
      <c r="K16" s="196" t="s">
        <v>445</v>
      </c>
      <c r="L16" s="223"/>
      <c r="M16" s="99"/>
      <c r="N16" s="220" t="s">
        <v>459</v>
      </c>
      <c r="O16" s="212" t="s">
        <v>463</v>
      </c>
      <c r="P16" s="230">
        <v>1</v>
      </c>
      <c r="Q16" s="218">
        <v>9500</v>
      </c>
      <c r="R16" s="211"/>
      <c r="S16" s="221">
        <f t="shared" ref="S16:S21" si="0">Q16+R16</f>
        <v>9500</v>
      </c>
    </row>
    <row r="17" spans="2:19" ht="29.25" customHeight="1">
      <c r="B17" s="39" t="s">
        <v>262</v>
      </c>
      <c r="C17" s="42">
        <v>1</v>
      </c>
      <c r="D17" s="65">
        <v>10000</v>
      </c>
      <c r="E17" s="65"/>
      <c r="F17" s="65">
        <f>D17+E17</f>
        <v>10000</v>
      </c>
      <c r="G17" s="192">
        <f>F17*12</f>
        <v>120000</v>
      </c>
      <c r="H17" s="129"/>
      <c r="I17" s="200" t="s">
        <v>461</v>
      </c>
      <c r="J17" s="195" t="s">
        <v>444</v>
      </c>
      <c r="K17" s="196" t="s">
        <v>445</v>
      </c>
      <c r="L17" s="223"/>
      <c r="M17" s="99"/>
      <c r="N17" s="241" t="s">
        <v>441</v>
      </c>
      <c r="O17" s="235" t="s">
        <v>464</v>
      </c>
      <c r="P17" s="229">
        <v>1</v>
      </c>
      <c r="Q17" s="219">
        <v>12000</v>
      </c>
      <c r="R17" s="213"/>
      <c r="S17" s="242">
        <f t="shared" si="0"/>
        <v>12000</v>
      </c>
    </row>
    <row r="18" spans="2:19" ht="29.25" customHeight="1">
      <c r="B18" s="340" t="s">
        <v>665</v>
      </c>
      <c r="C18" s="212">
        <v>1</v>
      </c>
      <c r="D18" s="213">
        <v>12000</v>
      </c>
      <c r="E18" s="213"/>
      <c r="F18" s="65">
        <f t="shared" ref="F18:F20" si="1">D18+E18</f>
        <v>12000</v>
      </c>
      <c r="G18" s="192">
        <f t="shared" ref="G18:G21" si="2">F18*12</f>
        <v>144000</v>
      </c>
      <c r="H18" s="129"/>
      <c r="I18" s="200"/>
      <c r="J18" s="195"/>
      <c r="K18" s="196"/>
      <c r="L18" s="223"/>
      <c r="M18" s="99"/>
      <c r="N18" s="365"/>
      <c r="O18" s="235"/>
      <c r="P18" s="229"/>
      <c r="Q18" s="219"/>
      <c r="R18" s="213"/>
      <c r="S18" s="242"/>
    </row>
    <row r="19" spans="2:19" ht="29.25" customHeight="1">
      <c r="B19" s="340" t="s">
        <v>651</v>
      </c>
      <c r="C19" s="212">
        <v>1</v>
      </c>
      <c r="D19" s="213">
        <v>10000</v>
      </c>
      <c r="E19" s="213"/>
      <c r="F19" s="65">
        <f t="shared" si="1"/>
        <v>10000</v>
      </c>
      <c r="G19" s="192">
        <f t="shared" si="2"/>
        <v>120000</v>
      </c>
      <c r="H19" s="129"/>
      <c r="I19" s="200"/>
      <c r="J19" s="195"/>
      <c r="K19" s="196"/>
      <c r="L19" s="223"/>
      <c r="M19" s="99"/>
      <c r="N19" s="365"/>
      <c r="O19" s="235"/>
      <c r="P19" s="229"/>
      <c r="Q19" s="219"/>
      <c r="R19" s="213"/>
      <c r="S19" s="242"/>
    </row>
    <row r="20" spans="2:19" ht="29.25" customHeight="1">
      <c r="B20" s="342" t="s">
        <v>297</v>
      </c>
      <c r="C20" s="212">
        <v>1</v>
      </c>
      <c r="D20" s="213">
        <v>6875</v>
      </c>
      <c r="E20" s="213"/>
      <c r="F20" s="65">
        <f t="shared" si="1"/>
        <v>6875</v>
      </c>
      <c r="G20" s="192">
        <f t="shared" si="2"/>
        <v>82500</v>
      </c>
      <c r="H20" s="129"/>
      <c r="I20" s="200"/>
      <c r="J20" s="195"/>
      <c r="K20" s="196"/>
      <c r="L20" s="223"/>
      <c r="M20" s="99"/>
      <c r="N20" s="365"/>
      <c r="O20" s="235"/>
      <c r="P20" s="229"/>
      <c r="Q20" s="219"/>
      <c r="R20" s="213"/>
      <c r="S20" s="242"/>
    </row>
    <row r="21" spans="2:19" ht="24.75" customHeight="1">
      <c r="B21" s="126" t="s">
        <v>375</v>
      </c>
      <c r="C21" s="127">
        <f>SUM(C16:C20)</f>
        <v>5</v>
      </c>
      <c r="D21" s="128">
        <f>SUM(D16:D20)</f>
        <v>55625</v>
      </c>
      <c r="E21" s="128">
        <f t="shared" ref="E21:F21" si="3">SUM(E16:E20)</f>
        <v>0</v>
      </c>
      <c r="F21" s="128">
        <f t="shared" si="3"/>
        <v>55625</v>
      </c>
      <c r="G21" s="381">
        <f t="shared" si="2"/>
        <v>667500</v>
      </c>
      <c r="H21" s="129"/>
      <c r="I21" s="201" t="s">
        <v>262</v>
      </c>
      <c r="J21" s="202" t="s">
        <v>444</v>
      </c>
      <c r="K21" s="201" t="s">
        <v>445</v>
      </c>
      <c r="L21" s="223"/>
      <c r="M21" s="99"/>
      <c r="N21" s="243" t="s">
        <v>262</v>
      </c>
      <c r="O21" s="212">
        <v>1231</v>
      </c>
      <c r="P21" s="229">
        <v>1</v>
      </c>
      <c r="Q21" s="219">
        <v>10800</v>
      </c>
      <c r="R21" s="244"/>
      <c r="S21" s="242">
        <f t="shared" si="0"/>
        <v>10800</v>
      </c>
    </row>
    <row r="22" spans="2:19" ht="15.95" customHeight="1">
      <c r="B22" s="675" t="s">
        <v>376</v>
      </c>
      <c r="C22" s="675"/>
      <c r="D22" s="675"/>
      <c r="E22" s="675"/>
      <c r="F22" s="675"/>
      <c r="G22" s="675"/>
      <c r="H22" s="370"/>
      <c r="I22" s="203"/>
      <c r="J22" s="203"/>
      <c r="K22" s="203"/>
      <c r="L22" s="223"/>
      <c r="M22" s="99"/>
      <c r="N22" s="144"/>
      <c r="O22" s="145"/>
      <c r="P22" s="144"/>
      <c r="Q22" s="144"/>
      <c r="R22" s="144"/>
      <c r="S22" s="144"/>
    </row>
    <row r="23" spans="2:19" ht="22.5" customHeight="1">
      <c r="B23" s="368" t="s">
        <v>263</v>
      </c>
      <c r="C23" s="34">
        <v>0.5</v>
      </c>
      <c r="D23" s="45">
        <v>12000</v>
      </c>
      <c r="E23" s="45"/>
      <c r="F23" s="45">
        <f>D23*C23</f>
        <v>6000</v>
      </c>
      <c r="G23" s="192">
        <f>F23*12</f>
        <v>72000</v>
      </c>
      <c r="H23" s="129"/>
      <c r="I23" s="201" t="s">
        <v>452</v>
      </c>
      <c r="J23" s="205">
        <f>1921*160%*1.66*1.8</f>
        <v>9183.9168000000009</v>
      </c>
      <c r="K23" s="205">
        <f>1921*160%*1.66*2.2</f>
        <v>11224.787200000002</v>
      </c>
      <c r="L23" s="223"/>
      <c r="M23" s="99"/>
      <c r="N23" s="225" t="s">
        <v>265</v>
      </c>
      <c r="O23" s="212" t="s">
        <v>465</v>
      </c>
      <c r="P23" s="229">
        <v>1</v>
      </c>
      <c r="Q23" s="190">
        <v>9200</v>
      </c>
      <c r="R23" s="214"/>
      <c r="S23" s="190">
        <f>Q23+R23</f>
        <v>9200</v>
      </c>
    </row>
    <row r="24" spans="2:19" ht="26.25" customHeight="1">
      <c r="B24" s="367" t="s">
        <v>264</v>
      </c>
      <c r="C24" s="34">
        <v>1</v>
      </c>
      <c r="D24" s="45">
        <v>9680</v>
      </c>
      <c r="E24" s="45"/>
      <c r="F24" s="45">
        <f>D24+E24</f>
        <v>9680</v>
      </c>
      <c r="G24" s="192">
        <f>F24*12</f>
        <v>116160</v>
      </c>
      <c r="H24" s="129"/>
      <c r="I24" s="200" t="s">
        <v>454</v>
      </c>
      <c r="J24" s="205">
        <f>1921*160%*1.66*1.2</f>
        <v>6122.6112000000003</v>
      </c>
      <c r="K24" s="205">
        <f>1921*160%*1.66*1.7</f>
        <v>8673.6992000000009</v>
      </c>
      <c r="L24" s="223"/>
      <c r="M24" s="99"/>
      <c r="N24" s="225"/>
      <c r="O24" s="212"/>
      <c r="P24" s="229"/>
      <c r="Q24" s="190"/>
      <c r="R24" s="214"/>
      <c r="S24" s="190"/>
    </row>
    <row r="25" spans="2:19" ht="21.75" customHeight="1">
      <c r="B25" s="367" t="s">
        <v>265</v>
      </c>
      <c r="C25" s="34">
        <v>1</v>
      </c>
      <c r="D25" s="130">
        <v>8400</v>
      </c>
      <c r="E25" s="130"/>
      <c r="F25" s="130">
        <f>D25+E25</f>
        <v>8400</v>
      </c>
      <c r="G25" s="192">
        <f>F25*12</f>
        <v>100800</v>
      </c>
      <c r="H25" s="129"/>
      <c r="I25" s="200" t="s">
        <v>453</v>
      </c>
      <c r="J25" s="205">
        <f>1921*160%*1.66*1.39</f>
        <v>7092.0246399999996</v>
      </c>
      <c r="K25" s="205">
        <f>1921*160%*1.66*1.79</f>
        <v>9132.8950400000012</v>
      </c>
      <c r="L25" s="223"/>
      <c r="M25" s="99"/>
      <c r="N25" s="225" t="s">
        <v>269</v>
      </c>
      <c r="O25" s="212">
        <v>8322</v>
      </c>
      <c r="P25" s="229">
        <v>1</v>
      </c>
      <c r="Q25" s="190">
        <v>7110</v>
      </c>
      <c r="R25" s="214"/>
      <c r="S25" s="190">
        <f>Q25+R25</f>
        <v>7110</v>
      </c>
    </row>
    <row r="26" spans="2:19" ht="15.95" customHeight="1">
      <c r="B26" s="126" t="s">
        <v>375</v>
      </c>
      <c r="C26" s="41">
        <f>SUM(C23:C25)</f>
        <v>2.5</v>
      </c>
      <c r="D26" s="131">
        <f t="shared" ref="D26:F26" si="4">SUM(D23:D25)</f>
        <v>30080</v>
      </c>
      <c r="E26" s="131">
        <f t="shared" si="4"/>
        <v>0</v>
      </c>
      <c r="F26" s="131">
        <f t="shared" si="4"/>
        <v>24080</v>
      </c>
      <c r="G26" s="47">
        <f>SUM(G23:G25)</f>
        <v>288960</v>
      </c>
      <c r="H26" s="207"/>
      <c r="I26" s="197"/>
      <c r="J26" s="197"/>
      <c r="K26" s="197"/>
      <c r="L26" s="223"/>
      <c r="M26" s="99"/>
      <c r="N26" s="226"/>
      <c r="O26" s="127"/>
      <c r="P26" s="231"/>
      <c r="Q26" s="191"/>
      <c r="R26" s="217"/>
      <c r="S26" s="191"/>
    </row>
    <row r="27" spans="2:19" ht="42" customHeight="1">
      <c r="B27" s="673" t="s">
        <v>377</v>
      </c>
      <c r="C27" s="673"/>
      <c r="D27" s="673"/>
      <c r="E27" s="673"/>
      <c r="F27" s="673"/>
      <c r="G27" s="673"/>
      <c r="H27" s="370"/>
      <c r="I27" s="200" t="s">
        <v>456</v>
      </c>
      <c r="J27" s="676" t="s">
        <v>457</v>
      </c>
      <c r="K27" s="677"/>
      <c r="L27" s="204" t="s">
        <v>455</v>
      </c>
      <c r="M27" s="99"/>
      <c r="N27" s="144"/>
      <c r="O27" s="145"/>
      <c r="P27" s="144"/>
      <c r="Q27" s="144"/>
      <c r="R27" s="144"/>
      <c r="S27" s="144"/>
    </row>
    <row r="28" spans="2:19" ht="15.95" customHeight="1">
      <c r="B28" s="367" t="s">
        <v>268</v>
      </c>
      <c r="C28" s="41">
        <v>4</v>
      </c>
      <c r="D28" s="45">
        <v>29.2</v>
      </c>
      <c r="E28" s="45"/>
      <c r="F28" s="47">
        <f>G28/6</f>
        <v>24446.240000000002</v>
      </c>
      <c r="G28" s="64">
        <f>D28*24*182+D28*0.2*4*182+D28*0.35*8*182</f>
        <v>146677.44</v>
      </c>
      <c r="H28" s="129"/>
      <c r="I28" s="197" t="s">
        <v>654</v>
      </c>
      <c r="J28" s="209">
        <v>1</v>
      </c>
      <c r="K28" s="357">
        <f>2197*160%*1.66*J28</f>
        <v>5835.232</v>
      </c>
      <c r="L28" s="198">
        <f>K28/166.08</f>
        <v>35.135067437379575</v>
      </c>
      <c r="M28" s="99"/>
      <c r="N28" s="187" t="s">
        <v>466</v>
      </c>
      <c r="O28" s="212">
        <v>8162</v>
      </c>
      <c r="P28" s="232">
        <v>4</v>
      </c>
      <c r="Q28" s="189">
        <v>5110</v>
      </c>
      <c r="R28" s="45"/>
      <c r="S28" s="189">
        <f>P28*Q28</f>
        <v>20440</v>
      </c>
    </row>
    <row r="29" spans="2:19" ht="15.95" customHeight="1">
      <c r="B29" s="673" t="s">
        <v>267</v>
      </c>
      <c r="C29" s="673"/>
      <c r="D29" s="673"/>
      <c r="E29" s="673"/>
      <c r="F29" s="673"/>
      <c r="G29" s="673"/>
      <c r="H29" s="129"/>
      <c r="I29" s="197"/>
      <c r="J29" s="209"/>
      <c r="K29" s="210"/>
      <c r="L29" s="198"/>
      <c r="M29" s="99"/>
      <c r="N29" s="187"/>
      <c r="O29" s="212"/>
      <c r="P29" s="232"/>
      <c r="Q29" s="189"/>
      <c r="R29" s="45"/>
      <c r="S29" s="189"/>
    </row>
    <row r="30" spans="2:19" ht="15.95" customHeight="1">
      <c r="B30" s="367"/>
      <c r="C30" s="34"/>
      <c r="D30" s="45"/>
      <c r="E30" s="372"/>
      <c r="F30" s="213"/>
      <c r="G30" s="341"/>
      <c r="H30" s="129"/>
      <c r="I30" s="197" t="s">
        <v>446</v>
      </c>
      <c r="J30" s="208">
        <v>1.08</v>
      </c>
      <c r="K30" s="205">
        <f>2197*160%*1.66*J30</f>
        <v>6302.0505600000006</v>
      </c>
      <c r="L30" s="198">
        <f t="shared" ref="L30:L35" si="5">K30/166.08</f>
        <v>37.945872832369943</v>
      </c>
      <c r="M30" s="99"/>
      <c r="N30" s="187"/>
      <c r="O30" s="212"/>
      <c r="P30" s="232"/>
      <c r="Q30" s="45"/>
      <c r="R30" s="45"/>
      <c r="S30" s="45"/>
    </row>
    <row r="31" spans="2:19" ht="15.95" customHeight="1">
      <c r="B31" s="367" t="s">
        <v>269</v>
      </c>
      <c r="C31" s="34">
        <v>0.5</v>
      </c>
      <c r="D31" s="45">
        <v>6000</v>
      </c>
      <c r="E31" s="372"/>
      <c r="F31" s="213">
        <f>D31*C31</f>
        <v>3000</v>
      </c>
      <c r="G31" s="341">
        <f>F31*12</f>
        <v>36000</v>
      </c>
      <c r="H31" s="129"/>
      <c r="I31" s="197"/>
      <c r="J31" s="208"/>
      <c r="K31" s="205"/>
      <c r="L31" s="198"/>
      <c r="M31" s="99"/>
      <c r="N31" s="187"/>
      <c r="O31" s="212"/>
      <c r="P31" s="261"/>
      <c r="Q31" s="262"/>
      <c r="R31" s="262"/>
      <c r="S31" s="262"/>
    </row>
    <row r="32" spans="2:19" ht="15.95" customHeight="1">
      <c r="B32" s="132" t="s">
        <v>375</v>
      </c>
      <c r="C32" s="127">
        <v>0.5</v>
      </c>
      <c r="D32" s="128"/>
      <c r="E32" s="373"/>
      <c r="F32" s="128">
        <f>F30+F31</f>
        <v>3000</v>
      </c>
      <c r="G32" s="374">
        <f>SUM(G31)</f>
        <v>36000</v>
      </c>
      <c r="H32" s="129"/>
      <c r="I32" s="197" t="s">
        <v>447</v>
      </c>
      <c r="J32" s="208">
        <v>1.2</v>
      </c>
      <c r="K32" s="205">
        <f>2197*160%*1.66*J32</f>
        <v>7002.2784000000001</v>
      </c>
      <c r="L32" s="198">
        <f t="shared" si="5"/>
        <v>42.162080924855488</v>
      </c>
      <c r="M32" s="99"/>
      <c r="N32" s="227" t="s">
        <v>375</v>
      </c>
      <c r="O32" s="127"/>
      <c r="P32" s="233"/>
      <c r="Q32" s="128"/>
      <c r="R32" s="128"/>
      <c r="S32" s="128"/>
    </row>
    <row r="33" spans="2:19" ht="15.95" customHeight="1">
      <c r="B33" s="673"/>
      <c r="C33" s="673"/>
      <c r="D33" s="673"/>
      <c r="E33" s="673"/>
      <c r="F33" s="673"/>
      <c r="G33" s="673"/>
      <c r="H33" s="370"/>
      <c r="I33" s="197" t="s">
        <v>448</v>
      </c>
      <c r="J33" s="208">
        <v>1.35</v>
      </c>
      <c r="K33" s="205">
        <f>2197*160%*1.66*J33</f>
        <v>7877.5632000000005</v>
      </c>
      <c r="L33" s="198">
        <f t="shared" si="5"/>
        <v>47.432341040462425</v>
      </c>
      <c r="M33" s="99"/>
      <c r="N33" s="144"/>
      <c r="O33" s="145"/>
      <c r="P33" s="144"/>
      <c r="Q33" s="144"/>
      <c r="R33" s="144"/>
      <c r="S33" s="144"/>
    </row>
    <row r="34" spans="2:19" ht="15.95" customHeight="1" thickBot="1">
      <c r="B34" s="367"/>
      <c r="C34" s="34"/>
      <c r="D34" s="45"/>
      <c r="E34" s="45"/>
      <c r="F34" s="45"/>
      <c r="G34" s="63"/>
      <c r="H34" s="129"/>
      <c r="I34" s="197" t="s">
        <v>449</v>
      </c>
      <c r="J34" s="208">
        <v>1.54</v>
      </c>
      <c r="K34" s="205">
        <f>2197*160%*1.66*J34</f>
        <v>8986.2572799999998</v>
      </c>
      <c r="L34" s="198">
        <f t="shared" si="5"/>
        <v>54.10800385356454</v>
      </c>
      <c r="M34" s="99"/>
      <c r="N34" s="236"/>
      <c r="O34" s="237"/>
      <c r="P34" s="238"/>
      <c r="Q34" s="65"/>
      <c r="R34" s="65"/>
      <c r="S34" s="65"/>
    </row>
    <row r="35" spans="2:19" ht="34.5" customHeight="1" thickBot="1">
      <c r="B35" s="375" t="s">
        <v>660</v>
      </c>
      <c r="C35" s="377">
        <v>11</v>
      </c>
      <c r="D35" s="378"/>
      <c r="E35" s="378"/>
      <c r="F35" s="378">
        <f>F21+F26+F32</f>
        <v>82705</v>
      </c>
      <c r="G35" s="378">
        <f>G21+G26+G32</f>
        <v>992460</v>
      </c>
      <c r="H35" s="207"/>
      <c r="I35" s="197" t="s">
        <v>450</v>
      </c>
      <c r="J35" s="208">
        <v>1.8</v>
      </c>
      <c r="K35" s="205">
        <f>2197*160%*1.66*J35</f>
        <v>10503.417600000001</v>
      </c>
      <c r="L35" s="198">
        <f t="shared" si="5"/>
        <v>63.243121387283239</v>
      </c>
      <c r="M35" s="99"/>
      <c r="N35" s="228" t="s">
        <v>378</v>
      </c>
      <c r="O35" s="239"/>
      <c r="P35" s="234">
        <f>SUM(P15:P34)</f>
        <v>10</v>
      </c>
      <c r="Q35" s="66"/>
      <c r="R35" s="66"/>
      <c r="S35" s="240">
        <f>SUM(S15:S34)</f>
        <v>83450</v>
      </c>
    </row>
    <row r="36" spans="2:19" ht="32.25" thickBot="1">
      <c r="B36" s="376" t="s">
        <v>661</v>
      </c>
      <c r="C36" s="340"/>
      <c r="D36" s="340"/>
      <c r="E36" s="340"/>
      <c r="F36" s="379">
        <f>F21+F26+F28+F32</f>
        <v>107151.24</v>
      </c>
      <c r="G36" s="379">
        <f>G35+G28</f>
        <v>1139137.44</v>
      </c>
      <c r="H36" s="25"/>
      <c r="N36" s="25"/>
      <c r="O36" s="25"/>
      <c r="P36" s="25"/>
      <c r="Q36" s="25"/>
      <c r="R36" s="25"/>
      <c r="S36" s="25"/>
    </row>
    <row r="40" spans="2:19">
      <c r="B40" s="245" t="s">
        <v>664</v>
      </c>
      <c r="D40" s="245">
        <f>5*24*29.2+5*4*29.2*0.2+5*8*29.2*0.35</f>
        <v>4029.6000000000004</v>
      </c>
    </row>
    <row r="44" spans="2:19">
      <c r="D44" s="54">
        <f>D16+D17+D18+D19+D20+D24</f>
        <v>65305</v>
      </c>
    </row>
  </sheetData>
  <mergeCells count="10">
    <mergeCell ref="B29:G29"/>
    <mergeCell ref="B33:G33"/>
    <mergeCell ref="D4:F4"/>
    <mergeCell ref="B11:G11"/>
    <mergeCell ref="N11:T11"/>
    <mergeCell ref="B12:G12"/>
    <mergeCell ref="B15:G15"/>
    <mergeCell ref="B22:G22"/>
    <mergeCell ref="B27:G27"/>
    <mergeCell ref="J27:K27"/>
  </mergeCells>
  <pageMargins left="0.23622047244094491" right="0.23622047244094491" top="0.74803149606299213" bottom="0.74803149606299213" header="0.31496062992125984" footer="0.31496062992125984"/>
  <pageSetup paperSize="9" scale="3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B1:N19"/>
  <sheetViews>
    <sheetView workbookViewId="0">
      <selection activeCell="G25" sqref="G25"/>
    </sheetView>
  </sheetViews>
  <sheetFormatPr defaultRowHeight="12.75"/>
  <cols>
    <col min="1" max="1" width="1" customWidth="1"/>
    <col min="2" max="2" width="5.42578125" customWidth="1"/>
    <col min="3" max="3" width="29.42578125" customWidth="1"/>
    <col min="4" max="4" width="10" customWidth="1"/>
    <col min="5" max="5" width="12.7109375" customWidth="1"/>
    <col min="6" max="6" width="12.28515625" customWidth="1"/>
    <col min="7" max="7" width="12.7109375" customWidth="1"/>
    <col min="8" max="8" width="12" customWidth="1"/>
    <col min="12" max="12" width="13.28515625" customWidth="1"/>
    <col min="13" max="13" width="12.7109375" bestFit="1" customWidth="1"/>
    <col min="14" max="14" width="12.85546875" customWidth="1"/>
  </cols>
  <sheetData>
    <row r="1" spans="2:14" ht="60" customHeight="1">
      <c r="B1" s="573" t="s">
        <v>748</v>
      </c>
      <c r="C1" s="573"/>
      <c r="D1" s="573"/>
      <c r="E1" s="573"/>
      <c r="F1" s="573"/>
      <c r="G1" s="573"/>
      <c r="H1" s="573"/>
    </row>
    <row r="2" spans="2:14" ht="8.25" customHeight="1">
      <c r="B2" s="25"/>
      <c r="C2" s="25"/>
      <c r="D2" s="25"/>
      <c r="E2" s="25"/>
      <c r="F2" s="25"/>
      <c r="G2" s="25"/>
      <c r="H2" s="25"/>
    </row>
    <row r="3" spans="2:14" ht="14.25" customHeight="1">
      <c r="B3" s="680" t="s">
        <v>7</v>
      </c>
      <c r="C3" s="681" t="s">
        <v>257</v>
      </c>
      <c r="D3" s="680" t="s">
        <v>0</v>
      </c>
      <c r="E3" s="681" t="s">
        <v>273</v>
      </c>
      <c r="F3" s="681"/>
      <c r="G3" s="681"/>
      <c r="H3" s="681"/>
    </row>
    <row r="4" spans="2:14" ht="15" customHeight="1">
      <c r="B4" s="680"/>
      <c r="C4" s="681"/>
      <c r="D4" s="680"/>
      <c r="E4" s="682" t="s">
        <v>275</v>
      </c>
      <c r="F4" s="682"/>
      <c r="G4" s="682" t="s">
        <v>276</v>
      </c>
      <c r="H4" s="682"/>
    </row>
    <row r="5" spans="2:14" ht="14.25" customHeight="1">
      <c r="B5" s="680"/>
      <c r="C5" s="681"/>
      <c r="D5" s="680"/>
      <c r="E5" s="51" t="s">
        <v>204</v>
      </c>
      <c r="F5" s="51" t="s">
        <v>277</v>
      </c>
      <c r="G5" s="51" t="s">
        <v>204</v>
      </c>
      <c r="H5" s="51" t="s">
        <v>277</v>
      </c>
    </row>
    <row r="6" spans="2:14" ht="15.75" customHeight="1">
      <c r="B6" s="34">
        <v>1</v>
      </c>
      <c r="C6" s="678" t="s">
        <v>280</v>
      </c>
      <c r="D6" s="678"/>
      <c r="E6" s="678"/>
      <c r="F6" s="678"/>
      <c r="G6" s="678"/>
      <c r="H6" s="678"/>
    </row>
    <row r="7" spans="2:14" ht="63">
      <c r="B7" s="34"/>
      <c r="C7" s="24" t="s">
        <v>296</v>
      </c>
      <c r="D7" s="33" t="s">
        <v>104</v>
      </c>
      <c r="E7" s="45">
        <f>'6_Т двоставковий'!E26</f>
        <v>82336.813730404756</v>
      </c>
      <c r="F7" s="45">
        <f>E7*1.2</f>
        <v>98804.176476485707</v>
      </c>
      <c r="G7" s="44"/>
      <c r="H7" s="44"/>
    </row>
    <row r="8" spans="2:14" ht="47.25">
      <c r="B8" s="34"/>
      <c r="C8" s="24" t="s">
        <v>439</v>
      </c>
      <c r="D8" s="33" t="s">
        <v>104</v>
      </c>
      <c r="E8" s="44"/>
      <c r="F8" s="44"/>
      <c r="G8" s="45">
        <f>'6_Т двоставковий'!E22</f>
        <v>818.4511964578877</v>
      </c>
      <c r="H8" s="45">
        <f>G8*1.2</f>
        <v>982.14143574946524</v>
      </c>
    </row>
    <row r="9" spans="2:14" ht="15.75" customHeight="1">
      <c r="B9" s="34">
        <v>2</v>
      </c>
      <c r="C9" s="679" t="s">
        <v>281</v>
      </c>
      <c r="D9" s="679" t="s">
        <v>104</v>
      </c>
      <c r="E9" s="679"/>
      <c r="F9" s="679"/>
      <c r="G9" s="679"/>
      <c r="H9" s="679"/>
    </row>
    <row r="10" spans="2:14" ht="63">
      <c r="B10" s="34"/>
      <c r="C10" s="32" t="s">
        <v>296</v>
      </c>
      <c r="D10" s="33" t="s">
        <v>104</v>
      </c>
      <c r="E10" s="45">
        <f>'6_Т двоставковий'!E34</f>
        <v>15335.451002056283</v>
      </c>
      <c r="F10" s="45">
        <f>E10*1.2</f>
        <v>18402.541202467539</v>
      </c>
      <c r="G10" s="45"/>
      <c r="H10" s="45"/>
    </row>
    <row r="11" spans="2:14" ht="15.75" customHeight="1">
      <c r="B11" s="34">
        <v>3</v>
      </c>
      <c r="C11" s="679" t="s">
        <v>282</v>
      </c>
      <c r="D11" s="679"/>
      <c r="E11" s="679"/>
      <c r="F11" s="679"/>
      <c r="G11" s="679"/>
      <c r="H11" s="679"/>
    </row>
    <row r="12" spans="2:14" ht="63">
      <c r="B12" s="34"/>
      <c r="C12" s="52" t="s">
        <v>296</v>
      </c>
      <c r="D12" s="33" t="s">
        <v>104</v>
      </c>
      <c r="E12" s="45">
        <f>'6_Т двоставковий'!E41</f>
        <v>11196.032695986658</v>
      </c>
      <c r="F12" s="45">
        <f>E12*1.2</f>
        <v>13435.23923518399</v>
      </c>
      <c r="G12" s="45"/>
      <c r="H12" s="45"/>
    </row>
    <row r="13" spans="2:14" ht="63">
      <c r="B13" s="34">
        <v>4</v>
      </c>
      <c r="C13" s="27" t="s">
        <v>440</v>
      </c>
      <c r="D13" s="46" t="s">
        <v>104</v>
      </c>
      <c r="E13" s="47">
        <f>E7+E10+E12</f>
        <v>108868.29742844769</v>
      </c>
      <c r="F13" s="451">
        <f>E13*1.2</f>
        <v>130641.95691413723</v>
      </c>
      <c r="G13" s="47">
        <f>G8</f>
        <v>818.4511964578877</v>
      </c>
      <c r="H13" s="451">
        <f>G13*1.2</f>
        <v>982.14143574946524</v>
      </c>
      <c r="K13" s="29"/>
      <c r="L13" s="30"/>
      <c r="M13" s="29"/>
      <c r="N13" s="29"/>
    </row>
    <row r="14" spans="2:14">
      <c r="K14" s="29"/>
      <c r="L14" s="30"/>
      <c r="M14" s="29"/>
      <c r="N14" s="29"/>
    </row>
    <row r="15" spans="2:14">
      <c r="K15" s="29"/>
      <c r="L15" s="30"/>
      <c r="M15" s="31"/>
      <c r="N15" s="30"/>
    </row>
    <row r="16" spans="2:14" ht="48" customHeight="1">
      <c r="C16" s="25" t="s">
        <v>331</v>
      </c>
      <c r="D16" s="25"/>
      <c r="E16" s="25"/>
      <c r="F16" s="25"/>
      <c r="G16" s="25" t="s">
        <v>274</v>
      </c>
    </row>
    <row r="18" spans="3:3" ht="146.25" customHeight="1">
      <c r="C18" s="36" t="s">
        <v>283</v>
      </c>
    </row>
    <row r="19" spans="3:3">
      <c r="C19" s="36" t="s">
        <v>284</v>
      </c>
    </row>
  </sheetData>
  <sheetProtection selectLockedCells="1" selectUnlockedCells="1"/>
  <mergeCells count="10">
    <mergeCell ref="C6:H6"/>
    <mergeCell ref="C9:H9"/>
    <mergeCell ref="C11:H11"/>
    <mergeCell ref="B1:H1"/>
    <mergeCell ref="B3:B5"/>
    <mergeCell ref="C3:C5"/>
    <mergeCell ref="D3:D5"/>
    <mergeCell ref="E3:H3"/>
    <mergeCell ref="E4:F4"/>
    <mergeCell ref="G4:H4"/>
  </mergeCells>
  <pageMargins left="0.39370078740157483" right="0.39370078740157483" top="0.98425196850393704" bottom="0.98425196850393704" header="0" footer="0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</sheetPr>
  <dimension ref="B1:T78"/>
  <sheetViews>
    <sheetView topLeftCell="A40" zoomScale="90" zoomScaleNormal="90" zoomScaleSheetLayoutView="75" workbookViewId="0">
      <selection activeCell="G25" sqref="G25"/>
    </sheetView>
  </sheetViews>
  <sheetFormatPr defaultColWidth="9.140625" defaultRowHeight="12.75"/>
  <cols>
    <col min="1" max="1" width="1.28515625" style="2" customWidth="1"/>
    <col min="2" max="2" width="9.140625" style="2"/>
    <col min="3" max="3" width="25.42578125" style="2" customWidth="1"/>
    <col min="4" max="5" width="9.140625" style="2"/>
    <col min="6" max="6" width="8.140625" style="2" customWidth="1"/>
    <col min="7" max="7" width="9.140625" style="2"/>
    <col min="8" max="8" width="12.7109375" style="99" bestFit="1" customWidth="1"/>
    <col min="9" max="9" width="9.140625" style="2" customWidth="1"/>
    <col min="10" max="10" width="7.85546875" style="2" customWidth="1"/>
    <col min="11" max="11" width="9.140625" style="2" customWidth="1"/>
    <col min="12" max="12" width="9" style="2" customWidth="1"/>
    <col min="13" max="13" width="9.140625" style="2"/>
    <col min="14" max="14" width="8.140625" style="2" customWidth="1"/>
    <col min="15" max="15" width="9.140625" style="2"/>
    <col min="16" max="16" width="13.28515625" style="2" customWidth="1"/>
    <col min="17" max="17" width="9.140625" style="2" customWidth="1"/>
    <col min="18" max="18" width="8.5703125" style="2" customWidth="1"/>
    <col min="19" max="20" width="9.140625" style="2" customWidth="1"/>
    <col min="21" max="16384" width="9.140625" style="2"/>
  </cols>
  <sheetData>
    <row r="1" spans="2:20" ht="9" customHeight="1"/>
    <row r="2" spans="2:20" ht="12.75" customHeight="1"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691"/>
      <c r="T2" s="691"/>
    </row>
    <row r="3" spans="2:20" ht="24.75" customHeight="1">
      <c r="B3" s="692" t="s">
        <v>753</v>
      </c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</row>
    <row r="4" spans="2:20" ht="12.75" customHeight="1"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</row>
    <row r="5" spans="2:20" ht="12.75" customHeight="1" thickBot="1">
      <c r="B5" s="564" t="s">
        <v>42</v>
      </c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564"/>
      <c r="P5" s="564"/>
      <c r="Q5" s="564"/>
      <c r="R5" s="564"/>
      <c r="S5" s="564"/>
      <c r="T5" s="564"/>
    </row>
    <row r="6" spans="2:20" ht="25.5" customHeight="1" thickBot="1">
      <c r="B6" s="689" t="s">
        <v>7</v>
      </c>
      <c r="C6" s="690" t="s">
        <v>8</v>
      </c>
      <c r="D6" s="690" t="s">
        <v>0</v>
      </c>
      <c r="E6" s="690" t="s">
        <v>43</v>
      </c>
      <c r="F6" s="690"/>
      <c r="G6" s="690"/>
      <c r="H6" s="690"/>
      <c r="I6" s="690" t="s">
        <v>44</v>
      </c>
      <c r="J6" s="690"/>
      <c r="K6" s="690"/>
      <c r="L6" s="690"/>
      <c r="M6" s="690" t="s">
        <v>45</v>
      </c>
      <c r="N6" s="690"/>
      <c r="O6" s="690"/>
      <c r="P6" s="690"/>
      <c r="Q6" s="690" t="s">
        <v>46</v>
      </c>
      <c r="R6" s="690"/>
      <c r="S6" s="690"/>
      <c r="T6" s="690"/>
    </row>
    <row r="7" spans="2:20" ht="12.4" customHeight="1" thickBot="1">
      <c r="B7" s="689"/>
      <c r="C7" s="690"/>
      <c r="D7" s="690"/>
      <c r="E7" s="684" t="s">
        <v>47</v>
      </c>
      <c r="F7" s="684" t="s">
        <v>48</v>
      </c>
      <c r="G7" s="684" t="s">
        <v>49</v>
      </c>
      <c r="H7" s="684" t="s">
        <v>50</v>
      </c>
      <c r="I7" s="684" t="s">
        <v>47</v>
      </c>
      <c r="J7" s="684" t="s">
        <v>48</v>
      </c>
      <c r="K7" s="684" t="s">
        <v>49</v>
      </c>
      <c r="L7" s="684" t="s">
        <v>51</v>
      </c>
      <c r="M7" s="684" t="s">
        <v>47</v>
      </c>
      <c r="N7" s="684" t="s">
        <v>48</v>
      </c>
      <c r="O7" s="684" t="s">
        <v>49</v>
      </c>
      <c r="P7" s="688" t="s">
        <v>51</v>
      </c>
      <c r="Q7" s="684" t="s">
        <v>47</v>
      </c>
      <c r="R7" s="684" t="s">
        <v>48</v>
      </c>
      <c r="S7" s="684" t="s">
        <v>49</v>
      </c>
      <c r="T7" s="684" t="s">
        <v>51</v>
      </c>
    </row>
    <row r="8" spans="2:20" ht="13.5" thickBot="1">
      <c r="B8" s="689"/>
      <c r="C8" s="690"/>
      <c r="D8" s="690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684"/>
      <c r="P8" s="688"/>
      <c r="Q8" s="684"/>
      <c r="R8" s="684"/>
      <c r="S8" s="684"/>
      <c r="T8" s="684"/>
    </row>
    <row r="9" spans="2:20" ht="13.5" thickBot="1">
      <c r="B9" s="689"/>
      <c r="C9" s="690"/>
      <c r="D9" s="690"/>
      <c r="E9" s="684"/>
      <c r="F9" s="684"/>
      <c r="G9" s="684"/>
      <c r="H9" s="684"/>
      <c r="I9" s="684"/>
      <c r="J9" s="684"/>
      <c r="K9" s="684"/>
      <c r="L9" s="684"/>
      <c r="M9" s="684"/>
      <c r="N9" s="684"/>
      <c r="O9" s="684"/>
      <c r="P9" s="688"/>
      <c r="Q9" s="684"/>
      <c r="R9" s="684"/>
      <c r="S9" s="684"/>
      <c r="T9" s="684"/>
    </row>
    <row r="10" spans="2:20" ht="13.5" thickBot="1">
      <c r="B10" s="689"/>
      <c r="C10" s="690"/>
      <c r="D10" s="690"/>
      <c r="E10" s="684"/>
      <c r="F10" s="684"/>
      <c r="G10" s="684"/>
      <c r="H10" s="684"/>
      <c r="I10" s="684"/>
      <c r="J10" s="684"/>
      <c r="K10" s="684"/>
      <c r="L10" s="684"/>
      <c r="M10" s="684"/>
      <c r="N10" s="684"/>
      <c r="O10" s="684"/>
      <c r="P10" s="688"/>
      <c r="Q10" s="684"/>
      <c r="R10" s="684"/>
      <c r="S10" s="684"/>
      <c r="T10" s="684"/>
    </row>
    <row r="11" spans="2:20" ht="13.5" thickBot="1">
      <c r="B11" s="689"/>
      <c r="C11" s="690"/>
      <c r="D11" s="690"/>
      <c r="E11" s="684"/>
      <c r="F11" s="684"/>
      <c r="G11" s="684"/>
      <c r="H11" s="684"/>
      <c r="I11" s="684"/>
      <c r="J11" s="684"/>
      <c r="K11" s="684"/>
      <c r="L11" s="684"/>
      <c r="M11" s="684"/>
      <c r="N11" s="684"/>
      <c r="O11" s="684"/>
      <c r="P11" s="688"/>
      <c r="Q11" s="684"/>
      <c r="R11" s="684"/>
      <c r="S11" s="684"/>
      <c r="T11" s="684"/>
    </row>
    <row r="12" spans="2:20" ht="13.5" thickBot="1">
      <c r="B12" s="13">
        <v>1</v>
      </c>
      <c r="C12" s="3">
        <v>2</v>
      </c>
      <c r="D12" s="3">
        <v>3</v>
      </c>
      <c r="E12" s="3">
        <v>4</v>
      </c>
      <c r="F12" s="3">
        <v>5</v>
      </c>
      <c r="G12" s="3">
        <v>6</v>
      </c>
      <c r="H12" s="3">
        <v>7</v>
      </c>
      <c r="I12" s="3">
        <v>8</v>
      </c>
      <c r="J12" s="3">
        <v>9</v>
      </c>
      <c r="K12" s="3">
        <v>10</v>
      </c>
      <c r="L12" s="3">
        <v>11</v>
      </c>
      <c r="M12" s="3">
        <v>12</v>
      </c>
      <c r="N12" s="3">
        <v>13</v>
      </c>
      <c r="O12" s="3">
        <v>14</v>
      </c>
      <c r="P12" s="28">
        <v>15</v>
      </c>
      <c r="Q12" s="3">
        <v>16</v>
      </c>
      <c r="R12" s="3">
        <v>17</v>
      </c>
      <c r="S12" s="3">
        <v>18</v>
      </c>
      <c r="T12" s="3">
        <v>19</v>
      </c>
    </row>
    <row r="13" spans="2:20" ht="26.25" thickBot="1">
      <c r="B13" s="445">
        <v>1</v>
      </c>
      <c r="C13" s="446" t="s">
        <v>52</v>
      </c>
      <c r="D13" s="447" t="s">
        <v>53</v>
      </c>
      <c r="E13" s="447">
        <v>0</v>
      </c>
      <c r="F13" s="447">
        <v>0</v>
      </c>
      <c r="G13" s="447">
        <v>0</v>
      </c>
      <c r="H13" s="454">
        <f>H14+H20+H21+H25</f>
        <v>5503.0664821333339</v>
      </c>
      <c r="I13" s="448">
        <f t="shared" ref="I13:O13" si="0">I14+I20+I21+I25</f>
        <v>0</v>
      </c>
      <c r="J13" s="448">
        <f t="shared" si="0"/>
        <v>0</v>
      </c>
      <c r="K13" s="448">
        <f t="shared" si="0"/>
        <v>0</v>
      </c>
      <c r="L13" s="448">
        <f t="shared" si="0"/>
        <v>0</v>
      </c>
      <c r="M13" s="448">
        <f t="shared" si="0"/>
        <v>0</v>
      </c>
      <c r="N13" s="448">
        <f t="shared" si="0"/>
        <v>0</v>
      </c>
      <c r="O13" s="448">
        <f t="shared" si="0"/>
        <v>8962.16</v>
      </c>
      <c r="P13" s="448">
        <f>H13</f>
        <v>5503.0664821333339</v>
      </c>
      <c r="Q13" s="447">
        <v>0</v>
      </c>
      <c r="R13" s="447">
        <v>0</v>
      </c>
      <c r="S13" s="447">
        <v>0</v>
      </c>
      <c r="T13" s="447">
        <v>0</v>
      </c>
    </row>
    <row r="14" spans="2:20" ht="26.25" thickBot="1">
      <c r="B14" s="6" t="s">
        <v>23</v>
      </c>
      <c r="C14" s="5" t="s">
        <v>54</v>
      </c>
      <c r="D14" s="3" t="s">
        <v>53</v>
      </c>
      <c r="E14" s="3">
        <v>0</v>
      </c>
      <c r="F14" s="3">
        <v>0</v>
      </c>
      <c r="G14" s="3">
        <v>0</v>
      </c>
      <c r="H14" s="455">
        <f>H15+H16+H17+H18+H19</f>
        <v>2659.639478333333</v>
      </c>
      <c r="I14" s="453">
        <f t="shared" ref="I14:O14" si="1">I15+I16+I17+I18+I19</f>
        <v>0</v>
      </c>
      <c r="J14" s="453">
        <f t="shared" si="1"/>
        <v>0</v>
      </c>
      <c r="K14" s="453">
        <f t="shared" si="1"/>
        <v>0</v>
      </c>
      <c r="L14" s="453">
        <f t="shared" si="1"/>
        <v>0</v>
      </c>
      <c r="M14" s="453">
        <f t="shared" si="1"/>
        <v>0</v>
      </c>
      <c r="N14" s="453">
        <f t="shared" si="1"/>
        <v>0</v>
      </c>
      <c r="O14" s="453">
        <f t="shared" si="1"/>
        <v>6984.4999999999991</v>
      </c>
      <c r="P14" s="448">
        <f t="shared" ref="P14:P71" si="2">H14</f>
        <v>2659.639478333333</v>
      </c>
      <c r="Q14" s="3">
        <v>0</v>
      </c>
      <c r="R14" s="3">
        <v>0</v>
      </c>
      <c r="S14" s="3">
        <v>0</v>
      </c>
      <c r="T14" s="3">
        <v>0</v>
      </c>
    </row>
    <row r="15" spans="2:20" ht="28.5" customHeight="1" thickBot="1">
      <c r="B15" s="6" t="s">
        <v>55</v>
      </c>
      <c r="C15" s="5" t="s">
        <v>56</v>
      </c>
      <c r="D15" s="3" t="s">
        <v>53</v>
      </c>
      <c r="E15" s="3">
        <v>0</v>
      </c>
      <c r="F15" s="3">
        <v>0</v>
      </c>
      <c r="G15" s="3">
        <v>0</v>
      </c>
      <c r="H15" s="553">
        <f>2880.94-423.25</f>
        <v>2457.69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6610.53</v>
      </c>
      <c r="P15" s="448">
        <f t="shared" si="2"/>
        <v>2457.69</v>
      </c>
      <c r="Q15" s="3">
        <v>0</v>
      </c>
      <c r="R15" s="3">
        <v>0</v>
      </c>
      <c r="S15" s="3">
        <v>0</v>
      </c>
      <c r="T15" s="3">
        <v>0</v>
      </c>
    </row>
    <row r="16" spans="2:20" ht="35.25" customHeight="1" thickBot="1">
      <c r="B16" s="6" t="s">
        <v>57</v>
      </c>
      <c r="C16" s="5" t="s">
        <v>58</v>
      </c>
      <c r="D16" s="3" t="s">
        <v>53</v>
      </c>
      <c r="E16" s="3">
        <v>0</v>
      </c>
      <c r="F16" s="3">
        <v>0</v>
      </c>
      <c r="G16" s="3">
        <v>0</v>
      </c>
      <c r="H16" s="553">
        <v>174.58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372.03</v>
      </c>
      <c r="P16" s="448">
        <f t="shared" si="2"/>
        <v>174.58</v>
      </c>
      <c r="Q16" s="3">
        <v>0</v>
      </c>
      <c r="R16" s="3">
        <v>0</v>
      </c>
      <c r="S16" s="3">
        <v>0</v>
      </c>
      <c r="T16" s="3">
        <v>0</v>
      </c>
    </row>
    <row r="17" spans="2:20" ht="79.5" customHeight="1" thickBot="1">
      <c r="B17" s="6" t="s">
        <v>59</v>
      </c>
      <c r="C17" s="5" t="s">
        <v>60</v>
      </c>
      <c r="D17" s="3" t="s">
        <v>53</v>
      </c>
      <c r="E17" s="3">
        <v>0</v>
      </c>
      <c r="F17" s="3">
        <v>0</v>
      </c>
      <c r="G17" s="3">
        <v>0</v>
      </c>
      <c r="H17" s="457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448">
        <f t="shared" si="2"/>
        <v>0</v>
      </c>
      <c r="Q17" s="3">
        <v>0</v>
      </c>
      <c r="R17" s="3">
        <v>0</v>
      </c>
      <c r="S17" s="3">
        <v>0</v>
      </c>
      <c r="T17" s="3">
        <v>0</v>
      </c>
    </row>
    <row r="18" spans="2:20" ht="26.25" thickBot="1">
      <c r="B18" s="6" t="s">
        <v>61</v>
      </c>
      <c r="C18" s="5" t="s">
        <v>62</v>
      </c>
      <c r="D18" s="3" t="s">
        <v>53</v>
      </c>
      <c r="E18" s="3">
        <v>0</v>
      </c>
      <c r="F18" s="3">
        <v>0</v>
      </c>
      <c r="G18" s="3">
        <v>0</v>
      </c>
      <c r="H18" s="553">
        <f>'[1] ТЕ на 20 -21 по таб от 170820'!$F$18/1000</f>
        <v>2.4752699999999996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1.94</v>
      </c>
      <c r="P18" s="448">
        <f t="shared" si="2"/>
        <v>2.4752699999999996</v>
      </c>
      <c r="Q18" s="3">
        <v>0</v>
      </c>
      <c r="R18" s="3">
        <v>0</v>
      </c>
      <c r="S18" s="3">
        <v>0</v>
      </c>
      <c r="T18" s="3">
        <v>0</v>
      </c>
    </row>
    <row r="19" spans="2:20" ht="30" customHeight="1" thickBot="1">
      <c r="B19" s="6" t="s">
        <v>63</v>
      </c>
      <c r="C19" s="5" t="s">
        <v>64</v>
      </c>
      <c r="D19" s="3" t="s">
        <v>53</v>
      </c>
      <c r="E19" s="3">
        <v>0</v>
      </c>
      <c r="F19" s="3">
        <v>0</v>
      </c>
      <c r="G19" s="3">
        <v>0</v>
      </c>
      <c r="H19" s="553">
        <f>'[1] ТЕ на 20 -21 по таб от 170820'!$F$19/1000</f>
        <v>24.894208333333335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448">
        <f t="shared" si="2"/>
        <v>24.894208333333335</v>
      </c>
      <c r="Q19" s="3">
        <v>0</v>
      </c>
      <c r="R19" s="3">
        <v>0</v>
      </c>
      <c r="S19" s="3">
        <v>0</v>
      </c>
      <c r="T19" s="3">
        <v>0</v>
      </c>
    </row>
    <row r="20" spans="2:20" ht="26.25" thickBot="1">
      <c r="B20" s="6" t="s">
        <v>25</v>
      </c>
      <c r="C20" s="5" t="s">
        <v>65</v>
      </c>
      <c r="D20" s="3" t="s">
        <v>53</v>
      </c>
      <c r="E20" s="3">
        <v>0</v>
      </c>
      <c r="F20" s="3">
        <v>0</v>
      </c>
      <c r="G20" s="3">
        <v>0</v>
      </c>
      <c r="H20" s="554">
        <v>251.5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145.72</v>
      </c>
      <c r="P20" s="448">
        <f t="shared" si="2"/>
        <v>251.5</v>
      </c>
      <c r="Q20" s="3">
        <v>0</v>
      </c>
      <c r="R20" s="3">
        <v>0</v>
      </c>
      <c r="S20" s="3">
        <v>0</v>
      </c>
      <c r="T20" s="3">
        <v>0</v>
      </c>
    </row>
    <row r="21" spans="2:20" ht="13.5" thickBot="1">
      <c r="B21" s="6" t="s">
        <v>66</v>
      </c>
      <c r="C21" s="5" t="s">
        <v>67</v>
      </c>
      <c r="D21" s="3"/>
      <c r="E21" s="3">
        <v>0</v>
      </c>
      <c r="F21" s="3">
        <v>0</v>
      </c>
      <c r="G21" s="3">
        <v>0</v>
      </c>
      <c r="H21" s="456">
        <f>H22+H23+H24</f>
        <v>690.2118038000001</v>
      </c>
      <c r="I21" s="14">
        <f t="shared" ref="I21:O21" si="3">I22+I23+I24</f>
        <v>0</v>
      </c>
      <c r="J21" s="14">
        <f t="shared" si="3"/>
        <v>0</v>
      </c>
      <c r="K21" s="14">
        <f t="shared" si="3"/>
        <v>0</v>
      </c>
      <c r="L21" s="14">
        <f t="shared" si="3"/>
        <v>0</v>
      </c>
      <c r="M21" s="14">
        <f t="shared" si="3"/>
        <v>0</v>
      </c>
      <c r="N21" s="14">
        <f t="shared" si="3"/>
        <v>0</v>
      </c>
      <c r="O21" s="14">
        <f t="shared" si="3"/>
        <v>32.06</v>
      </c>
      <c r="P21" s="448">
        <f t="shared" si="2"/>
        <v>690.2118038000001</v>
      </c>
      <c r="Q21" s="3">
        <v>0</v>
      </c>
      <c r="R21" s="3">
        <v>0</v>
      </c>
      <c r="S21" s="3">
        <v>0</v>
      </c>
      <c r="T21" s="3">
        <v>0</v>
      </c>
    </row>
    <row r="22" spans="2:20" ht="26.25" thickBot="1">
      <c r="B22" s="6" t="s">
        <v>68</v>
      </c>
      <c r="C22" s="5" t="s">
        <v>69</v>
      </c>
      <c r="D22" s="3" t="s">
        <v>53</v>
      </c>
      <c r="E22" s="3">
        <v>0</v>
      </c>
      <c r="F22" s="3">
        <v>0</v>
      </c>
      <c r="G22" s="3">
        <v>0</v>
      </c>
      <c r="H22" s="553">
        <f>'[2] ТЕ на 20 -21 по таб от 311220'!$F$30/1000</f>
        <v>55.331548800000007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32.06</v>
      </c>
      <c r="P22" s="448">
        <f t="shared" si="2"/>
        <v>55.331548800000007</v>
      </c>
      <c r="Q22" s="3">
        <v>0</v>
      </c>
      <c r="R22" s="3">
        <v>0</v>
      </c>
      <c r="S22" s="3">
        <v>0</v>
      </c>
      <c r="T22" s="3">
        <v>0</v>
      </c>
    </row>
    <row r="23" spans="2:20" ht="13.5" thickBot="1">
      <c r="B23" s="6" t="s">
        <v>70</v>
      </c>
      <c r="C23" s="5" t="s">
        <v>71</v>
      </c>
      <c r="D23" s="3" t="s">
        <v>53</v>
      </c>
      <c r="E23" s="3">
        <v>0</v>
      </c>
      <c r="F23" s="3">
        <v>0</v>
      </c>
      <c r="G23" s="3">
        <v>0</v>
      </c>
      <c r="H23" s="553">
        <f>'[1] ТЕ на 20 -21 по таб от 170820'!$F$31/1000</f>
        <v>174.99993000000001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448">
        <f t="shared" si="2"/>
        <v>174.99993000000001</v>
      </c>
      <c r="Q23" s="3">
        <v>0</v>
      </c>
      <c r="R23" s="3">
        <v>0</v>
      </c>
      <c r="S23" s="3">
        <v>0</v>
      </c>
      <c r="T23" s="3">
        <v>0</v>
      </c>
    </row>
    <row r="24" spans="2:20" ht="13.5" thickBot="1">
      <c r="B24" s="6" t="s">
        <v>72</v>
      </c>
      <c r="C24" s="5" t="s">
        <v>73</v>
      </c>
      <c r="D24" s="3" t="s">
        <v>53</v>
      </c>
      <c r="E24" s="3">
        <v>0</v>
      </c>
      <c r="F24" s="3">
        <v>0</v>
      </c>
      <c r="G24" s="3">
        <v>0</v>
      </c>
      <c r="H24" s="553">
        <f>'[1] ТЕ на 20 -21 по таб от 170820'!$F$33/1000+423.25</f>
        <v>459.88032500000003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448">
        <f t="shared" si="2"/>
        <v>459.88032500000003</v>
      </c>
      <c r="Q24" s="3">
        <v>0</v>
      </c>
      <c r="R24" s="3">
        <v>0</v>
      </c>
      <c r="S24" s="3">
        <v>0</v>
      </c>
      <c r="T24" s="3">
        <v>0</v>
      </c>
    </row>
    <row r="25" spans="2:20" ht="26.25" thickBot="1">
      <c r="B25" s="6" t="s">
        <v>74</v>
      </c>
      <c r="C25" s="5" t="s">
        <v>75</v>
      </c>
      <c r="D25" s="3" t="s">
        <v>53</v>
      </c>
      <c r="E25" s="3">
        <v>0</v>
      </c>
      <c r="F25" s="3">
        <v>0</v>
      </c>
      <c r="G25" s="3">
        <v>0</v>
      </c>
      <c r="H25" s="554">
        <f>H26+H27+H28</f>
        <v>1901.7152000000001</v>
      </c>
      <c r="I25" s="453">
        <f t="shared" ref="I25:O25" si="4">I26+I27+I28</f>
        <v>0</v>
      </c>
      <c r="J25" s="453">
        <f t="shared" si="4"/>
        <v>0</v>
      </c>
      <c r="K25" s="453">
        <f t="shared" si="4"/>
        <v>0</v>
      </c>
      <c r="L25" s="453">
        <f t="shared" si="4"/>
        <v>0</v>
      </c>
      <c r="M25" s="453">
        <f t="shared" si="4"/>
        <v>0</v>
      </c>
      <c r="N25" s="453">
        <f t="shared" si="4"/>
        <v>0</v>
      </c>
      <c r="O25" s="453">
        <f t="shared" si="4"/>
        <v>1799.88</v>
      </c>
      <c r="P25" s="448">
        <f t="shared" si="2"/>
        <v>1901.7152000000001</v>
      </c>
      <c r="Q25" s="3">
        <v>0</v>
      </c>
      <c r="R25" s="3">
        <v>0</v>
      </c>
      <c r="S25" s="3">
        <v>0</v>
      </c>
      <c r="T25" s="3">
        <v>0</v>
      </c>
    </row>
    <row r="26" spans="2:20" ht="13.5" thickBot="1">
      <c r="B26" s="6" t="s">
        <v>76</v>
      </c>
      <c r="C26" s="5" t="s">
        <v>77</v>
      </c>
      <c r="D26" s="3" t="s">
        <v>53</v>
      </c>
      <c r="E26" s="3">
        <v>0</v>
      </c>
      <c r="F26" s="3">
        <v>0</v>
      </c>
      <c r="G26" s="3">
        <v>0</v>
      </c>
      <c r="H26" s="553">
        <f>('[1] ТЕ на 20 -21 по таб от 170820'!$F$36+'[1] ТЕ на 20 -21 по таб от 170820'!$F$37)/1000</f>
        <v>116.16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227.56</v>
      </c>
      <c r="P26" s="448">
        <f t="shared" si="2"/>
        <v>116.16</v>
      </c>
      <c r="Q26" s="3">
        <v>0</v>
      </c>
      <c r="R26" s="3">
        <v>0</v>
      </c>
      <c r="S26" s="3">
        <v>0</v>
      </c>
      <c r="T26" s="3">
        <v>0</v>
      </c>
    </row>
    <row r="27" spans="2:20" ht="26.25" thickBot="1">
      <c r="B27" s="6" t="s">
        <v>78</v>
      </c>
      <c r="C27" s="5" t="s">
        <v>69</v>
      </c>
      <c r="D27" s="3" t="s">
        <v>53</v>
      </c>
      <c r="E27" s="3">
        <v>0</v>
      </c>
      <c r="F27" s="3">
        <v>0</v>
      </c>
      <c r="G27" s="3">
        <v>0</v>
      </c>
      <c r="H27" s="553">
        <f>'[1] ТЕ на 20 -21 по таб от 170820'!$F$39/1000</f>
        <v>25.555199999999999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50.06</v>
      </c>
      <c r="P27" s="448">
        <f t="shared" si="2"/>
        <v>25.555199999999999</v>
      </c>
      <c r="Q27" s="3">
        <v>0</v>
      </c>
      <c r="R27" s="3">
        <v>0</v>
      </c>
      <c r="S27" s="3">
        <v>0</v>
      </c>
      <c r="T27" s="3">
        <v>0</v>
      </c>
    </row>
    <row r="28" spans="2:20" ht="13.5" thickBot="1">
      <c r="B28" s="6" t="s">
        <v>79</v>
      </c>
      <c r="C28" s="5" t="s">
        <v>80</v>
      </c>
      <c r="D28" s="3" t="s">
        <v>53</v>
      </c>
      <c r="E28" s="3">
        <v>0</v>
      </c>
      <c r="F28" s="3">
        <v>0</v>
      </c>
      <c r="G28" s="3">
        <v>0</v>
      </c>
      <c r="H28" s="555">
        <v>1760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1522.26</v>
      </c>
      <c r="P28" s="448">
        <f t="shared" si="2"/>
        <v>1760</v>
      </c>
      <c r="Q28" s="3">
        <v>0</v>
      </c>
      <c r="R28" s="3">
        <v>0</v>
      </c>
      <c r="S28" s="3">
        <v>0</v>
      </c>
      <c r="T28" s="3">
        <v>0</v>
      </c>
    </row>
    <row r="29" spans="2:20" ht="26.25" thickBot="1">
      <c r="B29" s="449">
        <v>2</v>
      </c>
      <c r="C29" s="446" t="s">
        <v>81</v>
      </c>
      <c r="D29" s="447" t="s">
        <v>53</v>
      </c>
      <c r="E29" s="447">
        <v>0</v>
      </c>
      <c r="F29" s="447">
        <v>0</v>
      </c>
      <c r="G29" s="447">
        <v>0</v>
      </c>
      <c r="H29" s="452">
        <f>H30+H31+H32</f>
        <v>348.53999999999996</v>
      </c>
      <c r="I29" s="452">
        <f t="shared" ref="I29:O29" si="5">I30+I31+I32</f>
        <v>0</v>
      </c>
      <c r="J29" s="452">
        <f t="shared" si="5"/>
        <v>0</v>
      </c>
      <c r="K29" s="452">
        <f t="shared" si="5"/>
        <v>0</v>
      </c>
      <c r="L29" s="452">
        <f t="shared" si="5"/>
        <v>0</v>
      </c>
      <c r="M29" s="452">
        <f t="shared" si="5"/>
        <v>0</v>
      </c>
      <c r="N29" s="452">
        <f t="shared" si="5"/>
        <v>0</v>
      </c>
      <c r="O29" s="452">
        <f t="shared" si="5"/>
        <v>308.88</v>
      </c>
      <c r="P29" s="448">
        <f t="shared" si="2"/>
        <v>348.53999999999996</v>
      </c>
      <c r="Q29" s="447">
        <v>0</v>
      </c>
      <c r="R29" s="447">
        <v>0</v>
      </c>
      <c r="S29" s="447">
        <v>0</v>
      </c>
      <c r="T29" s="447">
        <v>0</v>
      </c>
    </row>
    <row r="30" spans="2:20" ht="13.5" thickBot="1">
      <c r="B30" s="6" t="s">
        <v>26</v>
      </c>
      <c r="C30" s="5" t="s">
        <v>77</v>
      </c>
      <c r="D30" s="3" t="s">
        <v>53</v>
      </c>
      <c r="E30" s="3">
        <v>0</v>
      </c>
      <c r="F30" s="3">
        <v>0</v>
      </c>
      <c r="G30" s="3">
        <v>0</v>
      </c>
      <c r="H30" s="553">
        <f>('[1] ТЕ на 20 -21 по таб от 170820'!$F$67+'[1] ТЕ на 20 -21 по таб от 170820'!$F$68)/1000/3</f>
        <v>222.5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97.89</v>
      </c>
      <c r="P30" s="448">
        <f t="shared" si="2"/>
        <v>222.5</v>
      </c>
      <c r="Q30" s="3">
        <v>0</v>
      </c>
      <c r="R30" s="3">
        <v>0</v>
      </c>
      <c r="S30" s="3">
        <v>0</v>
      </c>
      <c r="T30" s="3">
        <v>0</v>
      </c>
    </row>
    <row r="31" spans="2:20" ht="26.25" thickBot="1">
      <c r="B31" s="6" t="s">
        <v>27</v>
      </c>
      <c r="C31" s="5" t="s">
        <v>82</v>
      </c>
      <c r="D31" s="3" t="s">
        <v>53</v>
      </c>
      <c r="E31" s="3">
        <v>0</v>
      </c>
      <c r="F31" s="3">
        <v>0</v>
      </c>
      <c r="G31" s="3">
        <v>0</v>
      </c>
      <c r="H31" s="553">
        <f>'[1] ТЕ на 20 -21 по таб от 170820'!$F$70/1000/3</f>
        <v>48.949999999999996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21.54</v>
      </c>
      <c r="P31" s="448">
        <f t="shared" si="2"/>
        <v>48.949999999999996</v>
      </c>
      <c r="Q31" s="3">
        <v>0</v>
      </c>
      <c r="R31" s="3">
        <v>0</v>
      </c>
      <c r="S31" s="3">
        <v>0</v>
      </c>
      <c r="T31" s="3">
        <v>0</v>
      </c>
    </row>
    <row r="32" spans="2:20" ht="13.5" thickBot="1">
      <c r="B32" s="6" t="s">
        <v>83</v>
      </c>
      <c r="C32" s="5" t="s">
        <v>80</v>
      </c>
      <c r="D32" s="3" t="s">
        <v>53</v>
      </c>
      <c r="E32" s="3">
        <v>0</v>
      </c>
      <c r="F32" s="3">
        <v>0</v>
      </c>
      <c r="G32" s="3">
        <v>0</v>
      </c>
      <c r="H32" s="456">
        <v>77.09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189.45</v>
      </c>
      <c r="P32" s="448">
        <f t="shared" si="2"/>
        <v>77.09</v>
      </c>
      <c r="Q32" s="3">
        <v>0</v>
      </c>
      <c r="R32" s="3">
        <v>0</v>
      </c>
      <c r="S32" s="3">
        <v>0</v>
      </c>
      <c r="T32" s="3">
        <v>0</v>
      </c>
    </row>
    <row r="33" spans="2:20" ht="28.5" customHeight="1" thickBot="1">
      <c r="B33" s="449">
        <v>3</v>
      </c>
      <c r="C33" s="446" t="s">
        <v>84</v>
      </c>
      <c r="D33" s="447" t="s">
        <v>53</v>
      </c>
      <c r="E33" s="447">
        <v>0</v>
      </c>
      <c r="F33" s="447">
        <v>0</v>
      </c>
      <c r="G33" s="447">
        <v>0</v>
      </c>
      <c r="H33" s="447">
        <f>H34+H35+H36</f>
        <v>0</v>
      </c>
      <c r="I33" s="447">
        <v>0</v>
      </c>
      <c r="J33" s="447">
        <v>0</v>
      </c>
      <c r="K33" s="447">
        <v>0</v>
      </c>
      <c r="L33" s="447">
        <v>0</v>
      </c>
      <c r="M33" s="447">
        <v>0</v>
      </c>
      <c r="N33" s="447">
        <v>0</v>
      </c>
      <c r="O33" s="447">
        <v>0</v>
      </c>
      <c r="P33" s="448">
        <f t="shared" si="2"/>
        <v>0</v>
      </c>
      <c r="Q33" s="447">
        <v>0</v>
      </c>
      <c r="R33" s="447">
        <v>0</v>
      </c>
      <c r="S33" s="447">
        <v>0</v>
      </c>
      <c r="T33" s="447">
        <v>0</v>
      </c>
    </row>
    <row r="34" spans="2:20" ht="13.5" thickBot="1">
      <c r="B34" s="6" t="s">
        <v>2</v>
      </c>
      <c r="C34" s="5" t="s">
        <v>77</v>
      </c>
      <c r="D34" s="3" t="s">
        <v>53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448">
        <f t="shared" si="2"/>
        <v>0</v>
      </c>
      <c r="Q34" s="3">
        <v>0</v>
      </c>
      <c r="R34" s="3">
        <v>0</v>
      </c>
      <c r="S34" s="3">
        <v>0</v>
      </c>
      <c r="T34" s="3">
        <v>0</v>
      </c>
    </row>
    <row r="35" spans="2:20" ht="26.25" thickBot="1">
      <c r="B35" s="6" t="s">
        <v>85</v>
      </c>
      <c r="C35" s="5" t="s">
        <v>82</v>
      </c>
      <c r="D35" s="3" t="s">
        <v>53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448">
        <f t="shared" si="2"/>
        <v>0</v>
      </c>
      <c r="Q35" s="3">
        <v>0</v>
      </c>
      <c r="R35" s="3">
        <v>0</v>
      </c>
      <c r="S35" s="3">
        <v>0</v>
      </c>
      <c r="T35" s="3">
        <v>0</v>
      </c>
    </row>
    <row r="36" spans="2:20" ht="13.5" thickBot="1">
      <c r="B36" s="6" t="s">
        <v>86</v>
      </c>
      <c r="C36" s="5" t="s">
        <v>80</v>
      </c>
      <c r="D36" s="3" t="s">
        <v>53</v>
      </c>
      <c r="E36" s="3">
        <v>0</v>
      </c>
      <c r="F36" s="3">
        <v>0</v>
      </c>
      <c r="G36" s="3">
        <v>0</v>
      </c>
      <c r="H36" s="3"/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448">
        <f t="shared" si="2"/>
        <v>0</v>
      </c>
      <c r="Q36" s="3">
        <v>0</v>
      </c>
      <c r="R36" s="3">
        <v>0</v>
      </c>
      <c r="S36" s="3">
        <v>0</v>
      </c>
      <c r="T36" s="3">
        <v>0</v>
      </c>
    </row>
    <row r="37" spans="2:20" ht="13.5" thickBot="1">
      <c r="B37" s="6">
        <v>4</v>
      </c>
      <c r="C37" s="5" t="s">
        <v>87</v>
      </c>
      <c r="D37" s="3" t="s">
        <v>53</v>
      </c>
      <c r="E37" s="3">
        <v>0</v>
      </c>
      <c r="F37" s="3">
        <v>0</v>
      </c>
      <c r="G37" s="3">
        <v>0</v>
      </c>
      <c r="H37" s="3"/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448">
        <f t="shared" si="2"/>
        <v>0</v>
      </c>
      <c r="Q37" s="3">
        <v>0</v>
      </c>
      <c r="R37" s="3">
        <v>0</v>
      </c>
      <c r="S37" s="3">
        <v>0</v>
      </c>
      <c r="T37" s="3">
        <v>0</v>
      </c>
    </row>
    <row r="38" spans="2:20" ht="13.5" thickBot="1">
      <c r="B38" s="6">
        <v>5</v>
      </c>
      <c r="C38" s="5" t="s">
        <v>88</v>
      </c>
      <c r="D38" s="3" t="s">
        <v>53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448">
        <f t="shared" si="2"/>
        <v>0</v>
      </c>
      <c r="Q38" s="3">
        <v>0</v>
      </c>
      <c r="R38" s="3">
        <v>0</v>
      </c>
      <c r="S38" s="3">
        <v>0</v>
      </c>
      <c r="T38" s="3">
        <v>0</v>
      </c>
    </row>
    <row r="39" spans="2:20" ht="27" customHeight="1" thickBot="1">
      <c r="B39" s="449">
        <v>6</v>
      </c>
      <c r="C39" s="446" t="s">
        <v>89</v>
      </c>
      <c r="D39" s="447" t="s">
        <v>53</v>
      </c>
      <c r="E39" s="447">
        <v>0</v>
      </c>
      <c r="F39" s="447">
        <v>0</v>
      </c>
      <c r="G39" s="447">
        <v>0</v>
      </c>
      <c r="H39" s="448">
        <f>H29+H13+H33+H37+H38</f>
        <v>5851.6064821333339</v>
      </c>
      <c r="I39" s="448">
        <f t="shared" ref="I39:O39" si="6">I29+I13+I33+I37+I38</f>
        <v>0</v>
      </c>
      <c r="J39" s="448">
        <f t="shared" si="6"/>
        <v>0</v>
      </c>
      <c r="K39" s="448">
        <f t="shared" si="6"/>
        <v>0</v>
      </c>
      <c r="L39" s="448">
        <f t="shared" si="6"/>
        <v>0</v>
      </c>
      <c r="M39" s="448">
        <f t="shared" si="6"/>
        <v>0</v>
      </c>
      <c r="N39" s="448">
        <f t="shared" si="6"/>
        <v>0</v>
      </c>
      <c r="O39" s="448">
        <f t="shared" si="6"/>
        <v>9271.0399999999991</v>
      </c>
      <c r="P39" s="448">
        <f t="shared" si="2"/>
        <v>5851.6064821333339</v>
      </c>
      <c r="Q39" s="447">
        <v>0</v>
      </c>
      <c r="R39" s="447">
        <v>0</v>
      </c>
      <c r="S39" s="447">
        <v>0</v>
      </c>
      <c r="T39" s="447">
        <v>0</v>
      </c>
    </row>
    <row r="40" spans="2:20" ht="26.25" thickBot="1">
      <c r="B40" s="8">
        <v>7</v>
      </c>
      <c r="C40" s="15" t="s">
        <v>90</v>
      </c>
      <c r="D40" s="10" t="s">
        <v>53</v>
      </c>
      <c r="E40" s="3">
        <v>0</v>
      </c>
      <c r="F40" s="3">
        <v>0</v>
      </c>
      <c r="G40" s="3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3">
        <v>0</v>
      </c>
      <c r="N40" s="3">
        <v>0</v>
      </c>
      <c r="O40" s="3">
        <v>0</v>
      </c>
      <c r="P40" s="448">
        <f t="shared" si="2"/>
        <v>0</v>
      </c>
      <c r="Q40" s="10">
        <v>0</v>
      </c>
      <c r="R40" s="10">
        <v>0</v>
      </c>
      <c r="S40" s="10">
        <v>0</v>
      </c>
      <c r="T40" s="10">
        <v>0</v>
      </c>
    </row>
    <row r="41" spans="2:20" ht="13.5" thickBot="1">
      <c r="B41" s="16" t="s">
        <v>91</v>
      </c>
      <c r="C41" s="17" t="s">
        <v>92</v>
      </c>
      <c r="D41" s="12" t="s">
        <v>53</v>
      </c>
      <c r="E41" s="3">
        <v>0</v>
      </c>
      <c r="F41" s="3">
        <v>0</v>
      </c>
      <c r="G41" s="3">
        <v>0</v>
      </c>
      <c r="H41" s="12">
        <v>0</v>
      </c>
      <c r="I41" s="12" t="s">
        <v>93</v>
      </c>
      <c r="J41" s="12" t="s">
        <v>93</v>
      </c>
      <c r="K41" s="12">
        <v>0</v>
      </c>
      <c r="L41" s="12">
        <v>0</v>
      </c>
      <c r="M41" s="12" t="s">
        <v>93</v>
      </c>
      <c r="N41" s="12" t="s">
        <v>93</v>
      </c>
      <c r="O41" s="12">
        <v>0</v>
      </c>
      <c r="P41" s="448">
        <f t="shared" si="2"/>
        <v>0</v>
      </c>
      <c r="Q41" s="12" t="s">
        <v>93</v>
      </c>
      <c r="R41" s="12" t="s">
        <v>93</v>
      </c>
      <c r="S41" s="12">
        <v>0</v>
      </c>
      <c r="T41" s="12">
        <v>0</v>
      </c>
    </row>
    <row r="42" spans="2:20" ht="13.5" thickBot="1">
      <c r="B42" s="16" t="s">
        <v>94</v>
      </c>
      <c r="C42" s="17" t="s">
        <v>95</v>
      </c>
      <c r="D42" s="12" t="s">
        <v>53</v>
      </c>
      <c r="E42" s="3">
        <v>0</v>
      </c>
      <c r="F42" s="3">
        <v>0</v>
      </c>
      <c r="G42" s="3">
        <v>0</v>
      </c>
      <c r="H42" s="12">
        <v>0</v>
      </c>
      <c r="I42" s="12" t="s">
        <v>93</v>
      </c>
      <c r="J42" s="12" t="s">
        <v>93</v>
      </c>
      <c r="K42" s="12">
        <v>0</v>
      </c>
      <c r="L42" s="12">
        <v>0</v>
      </c>
      <c r="M42" s="12" t="s">
        <v>93</v>
      </c>
      <c r="N42" s="12" t="s">
        <v>93</v>
      </c>
      <c r="O42" s="12">
        <v>0</v>
      </c>
      <c r="P42" s="448">
        <f t="shared" si="2"/>
        <v>0</v>
      </c>
      <c r="Q42" s="12" t="s">
        <v>93</v>
      </c>
      <c r="R42" s="12" t="s">
        <v>93</v>
      </c>
      <c r="S42" s="12">
        <v>0</v>
      </c>
      <c r="T42" s="12">
        <v>0</v>
      </c>
    </row>
    <row r="43" spans="2:20" ht="13.5" thickBot="1">
      <c r="B43" s="6" t="s">
        <v>96</v>
      </c>
      <c r="C43" s="5" t="s">
        <v>97</v>
      </c>
      <c r="D43" s="3" t="s">
        <v>53</v>
      </c>
      <c r="E43" s="3">
        <v>0</v>
      </c>
      <c r="F43" s="3">
        <v>0</v>
      </c>
      <c r="G43" s="3">
        <v>0</v>
      </c>
      <c r="H43" s="3">
        <v>0</v>
      </c>
      <c r="I43" s="3" t="s">
        <v>93</v>
      </c>
      <c r="J43" s="3" t="s">
        <v>93</v>
      </c>
      <c r="K43" s="3">
        <v>0</v>
      </c>
      <c r="L43" s="3">
        <v>0</v>
      </c>
      <c r="M43" s="3" t="s">
        <v>93</v>
      </c>
      <c r="N43" s="3" t="s">
        <v>93</v>
      </c>
      <c r="O43" s="3">
        <v>0</v>
      </c>
      <c r="P43" s="448">
        <f t="shared" si="2"/>
        <v>0</v>
      </c>
      <c r="Q43" s="3" t="s">
        <v>93</v>
      </c>
      <c r="R43" s="3" t="s">
        <v>93</v>
      </c>
      <c r="S43" s="3">
        <v>0</v>
      </c>
      <c r="T43" s="3">
        <v>0</v>
      </c>
    </row>
    <row r="44" spans="2:20" ht="26.25" thickBot="1">
      <c r="B44" s="6" t="s">
        <v>98</v>
      </c>
      <c r="C44" s="5" t="s">
        <v>99</v>
      </c>
      <c r="D44" s="3" t="s">
        <v>53</v>
      </c>
      <c r="E44" s="3">
        <v>0</v>
      </c>
      <c r="F44" s="3">
        <v>0</v>
      </c>
      <c r="G44" s="3">
        <v>0</v>
      </c>
      <c r="H44" s="3">
        <v>0</v>
      </c>
      <c r="I44" s="3" t="s">
        <v>93</v>
      </c>
      <c r="J44" s="3" t="s">
        <v>93</v>
      </c>
      <c r="K44" s="3">
        <v>0</v>
      </c>
      <c r="L44" s="3">
        <v>0</v>
      </c>
      <c r="M44" s="3" t="s">
        <v>93</v>
      </c>
      <c r="N44" s="3" t="s">
        <v>93</v>
      </c>
      <c r="O44" s="3">
        <v>0</v>
      </c>
      <c r="P44" s="448">
        <f t="shared" si="2"/>
        <v>0</v>
      </c>
      <c r="Q44" s="3" t="s">
        <v>93</v>
      </c>
      <c r="R44" s="3" t="s">
        <v>93</v>
      </c>
      <c r="S44" s="3">
        <v>0</v>
      </c>
      <c r="T44" s="3">
        <v>0</v>
      </c>
    </row>
    <row r="45" spans="2:20" ht="26.25" thickBot="1">
      <c r="B45" s="6" t="s">
        <v>100</v>
      </c>
      <c r="C45" s="5" t="s">
        <v>101</v>
      </c>
      <c r="D45" s="3" t="s">
        <v>53</v>
      </c>
      <c r="E45" s="3">
        <v>0</v>
      </c>
      <c r="F45" s="3">
        <v>0</v>
      </c>
      <c r="G45" s="3">
        <v>0</v>
      </c>
      <c r="H45" s="3">
        <v>0</v>
      </c>
      <c r="I45" s="3" t="s">
        <v>93</v>
      </c>
      <c r="J45" s="3" t="s">
        <v>93</v>
      </c>
      <c r="K45" s="3">
        <v>0</v>
      </c>
      <c r="L45" s="3">
        <v>0</v>
      </c>
      <c r="M45" s="3" t="s">
        <v>93</v>
      </c>
      <c r="N45" s="3" t="s">
        <v>93</v>
      </c>
      <c r="O45" s="3">
        <v>0</v>
      </c>
      <c r="P45" s="448">
        <f t="shared" si="2"/>
        <v>0</v>
      </c>
      <c r="Q45" s="3" t="s">
        <v>93</v>
      </c>
      <c r="R45" s="3" t="s">
        <v>93</v>
      </c>
      <c r="S45" s="3">
        <v>0</v>
      </c>
      <c r="T45" s="3">
        <v>0</v>
      </c>
    </row>
    <row r="46" spans="2:20" ht="39" thickBot="1">
      <c r="B46" s="449">
        <v>8</v>
      </c>
      <c r="C46" s="446" t="s">
        <v>102</v>
      </c>
      <c r="D46" s="447" t="s">
        <v>53</v>
      </c>
      <c r="E46" s="447">
        <v>0</v>
      </c>
      <c r="F46" s="447">
        <v>0</v>
      </c>
      <c r="G46" s="447">
        <v>0</v>
      </c>
      <c r="H46" s="448">
        <f>H39</f>
        <v>5851.6064821333339</v>
      </c>
      <c r="I46" s="448">
        <f t="shared" ref="I46:O46" si="7">I39</f>
        <v>0</v>
      </c>
      <c r="J46" s="448">
        <f t="shared" si="7"/>
        <v>0</v>
      </c>
      <c r="K46" s="448">
        <f t="shared" si="7"/>
        <v>0</v>
      </c>
      <c r="L46" s="448">
        <f t="shared" si="7"/>
        <v>0</v>
      </c>
      <c r="M46" s="448">
        <f t="shared" si="7"/>
        <v>0</v>
      </c>
      <c r="N46" s="448">
        <f t="shared" si="7"/>
        <v>0</v>
      </c>
      <c r="O46" s="448">
        <f t="shared" si="7"/>
        <v>9271.0399999999991</v>
      </c>
      <c r="P46" s="448">
        <f t="shared" si="2"/>
        <v>5851.6064821333339</v>
      </c>
      <c r="Q46" s="447">
        <v>0</v>
      </c>
      <c r="R46" s="447">
        <v>0</v>
      </c>
      <c r="S46" s="447">
        <v>0</v>
      </c>
      <c r="T46" s="447">
        <v>0</v>
      </c>
    </row>
    <row r="47" spans="2:20" ht="26.25" thickBot="1">
      <c r="B47" s="6">
        <v>9</v>
      </c>
      <c r="C47" s="5" t="s">
        <v>103</v>
      </c>
      <c r="D47" s="3" t="s">
        <v>104</v>
      </c>
      <c r="E47" s="3">
        <v>0</v>
      </c>
      <c r="F47" s="3">
        <v>0</v>
      </c>
      <c r="G47" s="3">
        <v>0</v>
      </c>
      <c r="H47" s="14">
        <f>H46/H49*1000</f>
        <v>1819.4388594265627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1362.87</v>
      </c>
      <c r="P47" s="448">
        <f t="shared" si="2"/>
        <v>1819.4388594265627</v>
      </c>
      <c r="Q47" s="3">
        <v>0</v>
      </c>
      <c r="R47" s="3">
        <v>0</v>
      </c>
      <c r="S47" s="3">
        <v>0</v>
      </c>
      <c r="T47" s="3">
        <v>0</v>
      </c>
    </row>
    <row r="48" spans="2:20" ht="26.25" thickBot="1">
      <c r="B48" s="6">
        <v>10</v>
      </c>
      <c r="C48" s="5" t="s">
        <v>105</v>
      </c>
      <c r="D48" s="3" t="s">
        <v>22</v>
      </c>
      <c r="E48" s="3">
        <v>0</v>
      </c>
      <c r="F48" s="3">
        <v>0</v>
      </c>
      <c r="G48" s="3">
        <v>0</v>
      </c>
      <c r="H48" s="3">
        <v>3124.61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6802.59</v>
      </c>
      <c r="P48" s="448">
        <f t="shared" si="2"/>
        <v>3124.61</v>
      </c>
      <c r="Q48" s="3">
        <v>0</v>
      </c>
      <c r="R48" s="3">
        <v>0</v>
      </c>
      <c r="S48" s="3">
        <v>0</v>
      </c>
      <c r="T48" s="3">
        <v>0</v>
      </c>
    </row>
    <row r="49" spans="2:20" ht="39" thickBot="1">
      <c r="B49" s="18">
        <v>11</v>
      </c>
      <c r="C49" s="7" t="s">
        <v>106</v>
      </c>
      <c r="D49" s="3" t="s">
        <v>22</v>
      </c>
      <c r="E49" s="3">
        <v>0</v>
      </c>
      <c r="F49" s="3">
        <v>0</v>
      </c>
      <c r="G49" s="3">
        <v>0</v>
      </c>
      <c r="H49" s="3">
        <v>3216.16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6871.3</v>
      </c>
      <c r="P49" s="448">
        <f t="shared" si="2"/>
        <v>3216.16</v>
      </c>
      <c r="Q49" s="3">
        <v>0</v>
      </c>
      <c r="R49" s="3">
        <v>0</v>
      </c>
      <c r="S49" s="3">
        <v>0</v>
      </c>
      <c r="T49" s="3">
        <v>0</v>
      </c>
    </row>
    <row r="50" spans="2:20" ht="51.75" thickBot="1">
      <c r="B50" s="18">
        <v>12</v>
      </c>
      <c r="C50" s="7" t="s">
        <v>107</v>
      </c>
      <c r="D50" s="3" t="s">
        <v>108</v>
      </c>
      <c r="E50" s="3">
        <v>0</v>
      </c>
      <c r="F50" s="3">
        <v>0</v>
      </c>
      <c r="G50" s="3">
        <v>0</v>
      </c>
      <c r="H50" s="14">
        <f>H51*H49/1000</f>
        <v>512.17347999999993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1090.97</v>
      </c>
      <c r="P50" s="448">
        <f t="shared" si="2"/>
        <v>512.17347999999993</v>
      </c>
      <c r="Q50" s="3">
        <v>0</v>
      </c>
      <c r="R50" s="3">
        <v>0</v>
      </c>
      <c r="S50" s="3">
        <v>0</v>
      </c>
      <c r="T50" s="3">
        <v>0</v>
      </c>
    </row>
    <row r="51" spans="2:20" ht="51.75" thickBot="1">
      <c r="B51" s="18">
        <v>13</v>
      </c>
      <c r="C51" s="7" t="s">
        <v>109</v>
      </c>
      <c r="D51" s="3" t="s">
        <v>110</v>
      </c>
      <c r="E51" s="3">
        <v>0</v>
      </c>
      <c r="F51" s="3">
        <v>0</v>
      </c>
      <c r="G51" s="3">
        <v>0</v>
      </c>
      <c r="H51" s="14">
        <v>159.25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158.77000000000001</v>
      </c>
      <c r="P51" s="448">
        <f t="shared" si="2"/>
        <v>159.25</v>
      </c>
      <c r="Q51" s="3">
        <v>0</v>
      </c>
      <c r="R51" s="3">
        <v>0</v>
      </c>
      <c r="S51" s="3">
        <v>0</v>
      </c>
      <c r="T51" s="3">
        <v>0</v>
      </c>
    </row>
    <row r="52" spans="2:20" ht="26.25" thickBot="1">
      <c r="B52" s="18">
        <v>14</v>
      </c>
      <c r="C52" s="7" t="s">
        <v>111</v>
      </c>
      <c r="D52" s="3" t="s">
        <v>112</v>
      </c>
      <c r="E52" s="3">
        <v>0</v>
      </c>
      <c r="F52" s="3">
        <v>0</v>
      </c>
      <c r="G52" s="3">
        <v>0</v>
      </c>
      <c r="H52" s="14">
        <f>H15/H50*1000</f>
        <v>4798.5498975854825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7512.96</v>
      </c>
      <c r="P52" s="448">
        <f t="shared" si="2"/>
        <v>4798.5498975854825</v>
      </c>
      <c r="Q52" s="3">
        <v>0</v>
      </c>
      <c r="R52" s="3">
        <v>0</v>
      </c>
      <c r="S52" s="3">
        <v>0</v>
      </c>
      <c r="T52" s="3">
        <v>0</v>
      </c>
    </row>
    <row r="53" spans="2:20" ht="51.75" thickBot="1">
      <c r="B53" s="18">
        <v>15</v>
      </c>
      <c r="C53" s="7" t="s">
        <v>113</v>
      </c>
      <c r="D53" s="3" t="s">
        <v>114</v>
      </c>
      <c r="E53" s="3">
        <v>0</v>
      </c>
      <c r="F53" s="3">
        <v>0</v>
      </c>
      <c r="G53" s="3">
        <v>0</v>
      </c>
      <c r="H53" s="14">
        <f>H50/1.15</f>
        <v>445.36824347826087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948.67</v>
      </c>
      <c r="P53" s="448">
        <f t="shared" si="2"/>
        <v>445.36824347826087</v>
      </c>
      <c r="Q53" s="3">
        <v>0</v>
      </c>
      <c r="R53" s="3">
        <v>0</v>
      </c>
      <c r="S53" s="3">
        <v>0</v>
      </c>
      <c r="T53" s="3">
        <v>0</v>
      </c>
    </row>
    <row r="54" spans="2:20" ht="51.75" thickBot="1">
      <c r="B54" s="18">
        <v>16</v>
      </c>
      <c r="C54" s="7" t="s">
        <v>115</v>
      </c>
      <c r="D54" s="3" t="s">
        <v>108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448">
        <f t="shared" si="2"/>
        <v>0</v>
      </c>
      <c r="Q54" s="3">
        <v>0</v>
      </c>
      <c r="R54" s="3">
        <v>0</v>
      </c>
      <c r="S54" s="3">
        <v>0</v>
      </c>
      <c r="T54" s="3">
        <v>0</v>
      </c>
    </row>
    <row r="55" spans="2:20" ht="51.75" thickBot="1">
      <c r="B55" s="18">
        <v>17</v>
      </c>
      <c r="C55" s="7" t="s">
        <v>116</v>
      </c>
      <c r="D55" s="3" t="s">
        <v>108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448">
        <f t="shared" si="2"/>
        <v>0</v>
      </c>
      <c r="Q55" s="3">
        <v>0</v>
      </c>
      <c r="R55" s="3">
        <v>0</v>
      </c>
      <c r="S55" s="3">
        <v>0</v>
      </c>
      <c r="T55" s="3">
        <v>0</v>
      </c>
    </row>
    <row r="56" spans="2:20" ht="51.75" thickBot="1">
      <c r="B56" s="18">
        <v>18</v>
      </c>
      <c r="C56" s="7" t="s">
        <v>117</v>
      </c>
      <c r="D56" s="3" t="s">
        <v>118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448">
        <f t="shared" si="2"/>
        <v>0</v>
      </c>
      <c r="Q56" s="3">
        <v>0</v>
      </c>
      <c r="R56" s="3">
        <v>0</v>
      </c>
      <c r="S56" s="3">
        <v>0</v>
      </c>
      <c r="T56" s="3">
        <v>0</v>
      </c>
    </row>
    <row r="57" spans="2:20" ht="27.75" thickBot="1">
      <c r="B57" s="18">
        <v>19</v>
      </c>
      <c r="C57" s="7" t="s">
        <v>119</v>
      </c>
      <c r="D57" s="3" t="s">
        <v>120</v>
      </c>
      <c r="E57" s="3">
        <v>0</v>
      </c>
      <c r="F57" s="3">
        <v>0</v>
      </c>
      <c r="G57" s="3">
        <v>0</v>
      </c>
      <c r="H57" s="3">
        <v>8639.9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448">
        <f t="shared" si="2"/>
        <v>8639.9</v>
      </c>
      <c r="Q57" s="3">
        <v>0</v>
      </c>
      <c r="R57" s="3">
        <v>0</v>
      </c>
      <c r="S57" s="3">
        <v>0</v>
      </c>
      <c r="T57" s="3">
        <v>0</v>
      </c>
    </row>
    <row r="58" spans="2:20" ht="26.25" thickBot="1">
      <c r="B58" s="18">
        <v>20</v>
      </c>
      <c r="C58" s="7" t="s">
        <v>121</v>
      </c>
      <c r="D58" s="3" t="s">
        <v>122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448">
        <f t="shared" si="2"/>
        <v>0</v>
      </c>
      <c r="Q58" s="3">
        <v>0</v>
      </c>
      <c r="R58" s="3">
        <v>0</v>
      </c>
      <c r="S58" s="3">
        <v>0</v>
      </c>
      <c r="T58" s="3">
        <v>0</v>
      </c>
    </row>
    <row r="59" spans="2:20" ht="26.25" thickBot="1">
      <c r="B59" s="18">
        <v>21</v>
      </c>
      <c r="C59" s="7" t="s">
        <v>123</v>
      </c>
      <c r="D59" s="3" t="s">
        <v>122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448">
        <f t="shared" si="2"/>
        <v>0</v>
      </c>
      <c r="Q59" s="3">
        <v>0</v>
      </c>
      <c r="R59" s="3">
        <v>0</v>
      </c>
      <c r="S59" s="3">
        <v>0</v>
      </c>
      <c r="T59" s="3">
        <v>0</v>
      </c>
    </row>
    <row r="60" spans="2:20" ht="26.25" thickBot="1">
      <c r="B60" s="18">
        <v>22</v>
      </c>
      <c r="C60" s="7" t="s">
        <v>124</v>
      </c>
      <c r="D60" s="3" t="s">
        <v>125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448">
        <f t="shared" si="2"/>
        <v>0</v>
      </c>
      <c r="Q60" s="3">
        <v>0</v>
      </c>
      <c r="R60" s="3">
        <v>0</v>
      </c>
      <c r="S60" s="3">
        <v>0</v>
      </c>
      <c r="T60" s="3">
        <v>0</v>
      </c>
    </row>
    <row r="61" spans="2:20" ht="26.25" thickBot="1">
      <c r="B61" s="18">
        <v>23</v>
      </c>
      <c r="C61" s="7" t="s">
        <v>126</v>
      </c>
      <c r="D61" s="3" t="s">
        <v>127</v>
      </c>
      <c r="E61" s="3">
        <v>0</v>
      </c>
      <c r="F61" s="3">
        <v>0</v>
      </c>
      <c r="G61" s="3">
        <v>0</v>
      </c>
      <c r="H61" s="3">
        <v>1.1499999999999999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1.1499999999999999</v>
      </c>
      <c r="P61" s="448">
        <f t="shared" si="2"/>
        <v>1.1499999999999999</v>
      </c>
      <c r="Q61" s="3">
        <v>0</v>
      </c>
      <c r="R61" s="3">
        <v>0</v>
      </c>
      <c r="S61" s="3">
        <v>0</v>
      </c>
      <c r="T61" s="3">
        <v>0</v>
      </c>
    </row>
    <row r="62" spans="2:20" ht="26.25" thickBot="1">
      <c r="B62" s="18">
        <v>24</v>
      </c>
      <c r="C62" s="7" t="s">
        <v>128</v>
      </c>
      <c r="D62" s="3" t="s">
        <v>129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448">
        <f t="shared" si="2"/>
        <v>0</v>
      </c>
      <c r="Q62" s="3">
        <v>0</v>
      </c>
      <c r="R62" s="3">
        <v>0</v>
      </c>
      <c r="S62" s="3">
        <v>0</v>
      </c>
      <c r="T62" s="3">
        <v>0</v>
      </c>
    </row>
    <row r="63" spans="2:20" ht="26.25" thickBot="1">
      <c r="B63" s="19">
        <v>25</v>
      </c>
      <c r="C63" s="9" t="s">
        <v>130</v>
      </c>
      <c r="D63" s="10" t="s">
        <v>129</v>
      </c>
      <c r="E63" s="3">
        <v>0</v>
      </c>
      <c r="F63" s="3">
        <v>0</v>
      </c>
      <c r="G63" s="3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3">
        <v>0</v>
      </c>
      <c r="N63" s="3">
        <v>0</v>
      </c>
      <c r="O63" s="3">
        <v>0</v>
      </c>
      <c r="P63" s="448">
        <f t="shared" si="2"/>
        <v>0</v>
      </c>
      <c r="Q63" s="10">
        <v>0</v>
      </c>
      <c r="R63" s="10">
        <v>0</v>
      </c>
      <c r="S63" s="10">
        <v>0</v>
      </c>
      <c r="T63" s="10">
        <v>0</v>
      </c>
    </row>
    <row r="64" spans="2:20" ht="26.25" thickBot="1">
      <c r="B64" s="20">
        <v>26</v>
      </c>
      <c r="C64" s="11" t="s">
        <v>131</v>
      </c>
      <c r="D64" s="12" t="s">
        <v>132</v>
      </c>
      <c r="E64" s="3">
        <v>0</v>
      </c>
      <c r="F64" s="3">
        <v>0</v>
      </c>
      <c r="G64" s="3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3">
        <v>0</v>
      </c>
      <c r="N64" s="3">
        <v>0</v>
      </c>
      <c r="O64" s="3">
        <v>0</v>
      </c>
      <c r="P64" s="448">
        <f t="shared" si="2"/>
        <v>0</v>
      </c>
      <c r="Q64" s="12">
        <v>0</v>
      </c>
      <c r="R64" s="12">
        <v>0</v>
      </c>
      <c r="S64" s="12">
        <v>0</v>
      </c>
      <c r="T64" s="12">
        <v>0</v>
      </c>
    </row>
    <row r="65" spans="2:20" ht="26.25" thickBot="1">
      <c r="B65" s="20" t="s">
        <v>133</v>
      </c>
      <c r="C65" s="11" t="s">
        <v>134</v>
      </c>
      <c r="D65" s="12" t="s">
        <v>22</v>
      </c>
      <c r="E65" s="3">
        <v>0</v>
      </c>
      <c r="F65" s="3">
        <v>0</v>
      </c>
      <c r="G65" s="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3">
        <v>0</v>
      </c>
      <c r="N65" s="3">
        <v>0</v>
      </c>
      <c r="O65" s="3">
        <v>0</v>
      </c>
      <c r="P65" s="448">
        <f t="shared" si="2"/>
        <v>0</v>
      </c>
      <c r="Q65" s="12">
        <v>0</v>
      </c>
      <c r="R65" s="12">
        <v>0</v>
      </c>
      <c r="S65" s="12">
        <v>0</v>
      </c>
      <c r="T65" s="12">
        <v>0</v>
      </c>
    </row>
    <row r="66" spans="2:20" ht="26.25" thickBot="1">
      <c r="B66" s="18">
        <v>28</v>
      </c>
      <c r="C66" s="21" t="s">
        <v>135</v>
      </c>
      <c r="D66" s="3" t="s">
        <v>104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448">
        <f t="shared" si="2"/>
        <v>0</v>
      </c>
      <c r="Q66" s="3">
        <v>0</v>
      </c>
      <c r="R66" s="3">
        <v>0</v>
      </c>
      <c r="S66" s="3">
        <v>0</v>
      </c>
      <c r="T66" s="3">
        <v>0</v>
      </c>
    </row>
    <row r="67" spans="2:20" ht="51.75" thickBot="1">
      <c r="B67" s="18">
        <v>29</v>
      </c>
      <c r="C67" s="7" t="s">
        <v>136</v>
      </c>
      <c r="D67" s="3" t="s">
        <v>22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448">
        <f t="shared" si="2"/>
        <v>0</v>
      </c>
      <c r="Q67" s="3">
        <v>0</v>
      </c>
      <c r="R67" s="3">
        <v>0</v>
      </c>
      <c r="S67" s="3">
        <v>0</v>
      </c>
      <c r="T67" s="3">
        <v>0</v>
      </c>
    </row>
    <row r="68" spans="2:20" ht="51.75" thickBot="1">
      <c r="B68" s="18">
        <v>30</v>
      </c>
      <c r="C68" s="7" t="s">
        <v>137</v>
      </c>
      <c r="D68" s="3" t="s">
        <v>104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448">
        <f t="shared" si="2"/>
        <v>0</v>
      </c>
      <c r="Q68" s="3">
        <v>0</v>
      </c>
      <c r="R68" s="3">
        <v>0</v>
      </c>
      <c r="S68" s="3">
        <v>0</v>
      </c>
      <c r="T68" s="3">
        <v>0</v>
      </c>
    </row>
    <row r="69" spans="2:20" ht="64.5" thickBot="1">
      <c r="B69" s="18">
        <v>31</v>
      </c>
      <c r="C69" s="7" t="s">
        <v>138</v>
      </c>
      <c r="D69" s="3" t="s">
        <v>139</v>
      </c>
      <c r="E69" s="3">
        <v>0</v>
      </c>
      <c r="F69" s="3">
        <v>0</v>
      </c>
      <c r="G69" s="3">
        <v>0</v>
      </c>
      <c r="H69" s="3">
        <v>19.7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20.99</v>
      </c>
      <c r="P69" s="448">
        <f t="shared" si="2"/>
        <v>19.7</v>
      </c>
      <c r="Q69" s="3">
        <v>0</v>
      </c>
      <c r="R69" s="3">
        <v>0</v>
      </c>
      <c r="S69" s="3">
        <v>0</v>
      </c>
      <c r="T69" s="3">
        <v>0</v>
      </c>
    </row>
    <row r="70" spans="2:20" ht="26.25" thickBot="1">
      <c r="B70" s="18">
        <v>32</v>
      </c>
      <c r="C70" s="7" t="s">
        <v>140</v>
      </c>
      <c r="D70" s="3" t="s">
        <v>141</v>
      </c>
      <c r="E70" s="3">
        <v>0</v>
      </c>
      <c r="F70" s="3">
        <v>0</v>
      </c>
      <c r="G70" s="3">
        <v>0</v>
      </c>
      <c r="H70" s="14">
        <v>275.54300000000001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251.57</v>
      </c>
      <c r="P70" s="448">
        <f t="shared" si="2"/>
        <v>275.54300000000001</v>
      </c>
      <c r="Q70" s="3">
        <v>0</v>
      </c>
      <c r="R70" s="3">
        <v>0</v>
      </c>
      <c r="S70" s="3">
        <v>0</v>
      </c>
      <c r="T70" s="3">
        <v>0</v>
      </c>
    </row>
    <row r="71" spans="2:20" ht="39" thickBot="1">
      <c r="B71" s="18">
        <v>33</v>
      </c>
      <c r="C71" s="7" t="s">
        <v>142</v>
      </c>
      <c r="D71" s="3" t="s">
        <v>32</v>
      </c>
      <c r="E71" s="3">
        <v>0</v>
      </c>
      <c r="F71" s="3">
        <v>0</v>
      </c>
      <c r="G71" s="3">
        <v>0</v>
      </c>
      <c r="H71" s="3">
        <v>4.51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4.3</v>
      </c>
      <c r="P71" s="448">
        <f t="shared" si="2"/>
        <v>4.51</v>
      </c>
      <c r="Q71" s="3">
        <v>0</v>
      </c>
      <c r="R71" s="3">
        <v>0</v>
      </c>
      <c r="S71" s="3">
        <v>0</v>
      </c>
      <c r="T71" s="3">
        <v>0</v>
      </c>
    </row>
    <row r="72" spans="2:20">
      <c r="B72" s="685"/>
      <c r="C72" s="685"/>
      <c r="D72" s="685"/>
      <c r="E72" s="685"/>
      <c r="F72" s="685"/>
      <c r="G72" s="685"/>
      <c r="H72" s="685"/>
      <c r="I72" s="685"/>
      <c r="J72" s="685"/>
      <c r="K72" s="685"/>
      <c r="L72" s="685"/>
      <c r="M72" s="685"/>
      <c r="N72" s="685"/>
      <c r="O72" s="685"/>
      <c r="P72" s="685"/>
      <c r="Q72" s="685"/>
      <c r="R72" s="685"/>
      <c r="S72" s="685"/>
      <c r="T72" s="685"/>
    </row>
    <row r="73" spans="2:20" ht="14.25" customHeight="1">
      <c r="B73" s="686" t="s">
        <v>143</v>
      </c>
      <c r="C73" s="686"/>
      <c r="D73" s="686"/>
      <c r="E73" s="686"/>
      <c r="F73" s="686"/>
      <c r="G73" s="686"/>
      <c r="H73" s="686"/>
      <c r="I73" s="686"/>
      <c r="J73" s="686"/>
      <c r="K73" s="686"/>
      <c r="L73" s="686"/>
      <c r="M73" s="686"/>
      <c r="N73" s="686"/>
      <c r="O73" s="686"/>
      <c r="P73" s="686"/>
      <c r="Q73" s="686"/>
      <c r="R73" s="686"/>
      <c r="S73" s="686"/>
      <c r="T73" s="686"/>
    </row>
    <row r="74" spans="2:20">
      <c r="B74" s="558"/>
      <c r="C74" s="558"/>
      <c r="D74" s="558"/>
      <c r="E74" s="558"/>
      <c r="F74" s="558"/>
      <c r="G74" s="558"/>
      <c r="H74" s="558"/>
      <c r="I74" s="558"/>
      <c r="J74" s="558"/>
      <c r="K74" s="558"/>
      <c r="L74" s="558"/>
      <c r="M74" s="558"/>
      <c r="N74" s="558"/>
      <c r="O74" s="558"/>
      <c r="P74" s="558"/>
      <c r="Q74" s="558"/>
      <c r="R74" s="558"/>
      <c r="S74" s="558"/>
      <c r="T74" s="558"/>
    </row>
    <row r="75" spans="2:20" ht="35.25" customHeight="1">
      <c r="B75" s="687" t="s">
        <v>388</v>
      </c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</row>
    <row r="76" spans="2:20">
      <c r="B76" s="558"/>
      <c r="C76" s="558"/>
      <c r="D76" s="558"/>
      <c r="E76" s="558"/>
      <c r="F76" s="558"/>
      <c r="G76" s="558"/>
      <c r="H76" s="558"/>
      <c r="I76" s="558"/>
      <c r="J76" s="558"/>
      <c r="K76" s="558"/>
      <c r="L76" s="558"/>
      <c r="M76" s="558"/>
      <c r="N76" s="558"/>
      <c r="O76" s="558"/>
      <c r="P76" s="558"/>
      <c r="Q76" s="558"/>
      <c r="R76" s="558"/>
      <c r="S76" s="558"/>
      <c r="T76" s="558"/>
    </row>
    <row r="77" spans="2:20" ht="12.75" customHeight="1">
      <c r="B77" s="556" t="s">
        <v>6</v>
      </c>
      <c r="C77" s="556"/>
      <c r="D77" s="556"/>
      <c r="E77" s="556"/>
      <c r="F77" s="556"/>
      <c r="G77" s="556"/>
      <c r="H77" s="556"/>
      <c r="I77" s="556"/>
      <c r="J77" s="556"/>
      <c r="K77" s="556"/>
      <c r="L77" s="556"/>
      <c r="M77" s="556"/>
      <c r="N77" s="556"/>
      <c r="O77" s="556"/>
      <c r="P77" s="556"/>
      <c r="Q77" s="556"/>
      <c r="R77" s="556"/>
      <c r="S77" s="556"/>
      <c r="T77" s="556"/>
    </row>
    <row r="78" spans="2:20">
      <c r="B78" s="683"/>
      <c r="C78" s="683"/>
      <c r="D78" s="683"/>
      <c r="E78" s="683"/>
      <c r="F78" s="683"/>
      <c r="G78" s="683"/>
      <c r="H78" s="683"/>
      <c r="I78" s="683"/>
      <c r="J78" s="683"/>
      <c r="K78" s="683"/>
      <c r="L78" s="683"/>
      <c r="M78" s="683"/>
      <c r="N78" s="683"/>
      <c r="O78" s="683"/>
      <c r="P78" s="683"/>
      <c r="Q78" s="683"/>
      <c r="R78" s="683"/>
      <c r="S78" s="683"/>
      <c r="T78" s="683"/>
    </row>
  </sheetData>
  <sheetProtection selectLockedCells="1" selectUnlockedCells="1"/>
  <mergeCells count="34">
    <mergeCell ref="B2:T2"/>
    <mergeCell ref="B3:T3"/>
    <mergeCell ref="B4:T4"/>
    <mergeCell ref="D6:D11"/>
    <mergeCell ref="E6:H6"/>
    <mergeCell ref="I6:L6"/>
    <mergeCell ref="M6:P6"/>
    <mergeCell ref="Q6:T6"/>
    <mergeCell ref="E7:E11"/>
    <mergeCell ref="F7:F11"/>
    <mergeCell ref="G7:G11"/>
    <mergeCell ref="H7:H11"/>
    <mergeCell ref="B77:T77"/>
    <mergeCell ref="J7:J11"/>
    <mergeCell ref="N7:N11"/>
    <mergeCell ref="B5:T5"/>
    <mergeCell ref="I7:I11"/>
    <mergeCell ref="M7:M11"/>
    <mergeCell ref="B78:T78"/>
    <mergeCell ref="R7:R11"/>
    <mergeCell ref="S7:S11"/>
    <mergeCell ref="T7:T11"/>
    <mergeCell ref="B72:T72"/>
    <mergeCell ref="B73:T73"/>
    <mergeCell ref="B74:T74"/>
    <mergeCell ref="B75:T75"/>
    <mergeCell ref="O7:O11"/>
    <mergeCell ref="P7:P11"/>
    <mergeCell ref="Q7:Q11"/>
    <mergeCell ref="B76:T76"/>
    <mergeCell ref="B6:B11"/>
    <mergeCell ref="C6:C11"/>
    <mergeCell ref="K7:K11"/>
    <mergeCell ref="L7:L11"/>
  </mergeCells>
  <pageMargins left="0" right="0" top="0" bottom="0" header="0" footer="0"/>
  <pageSetup paperSize="9" scale="75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</sheetPr>
  <dimension ref="B1:J71"/>
  <sheetViews>
    <sheetView topLeftCell="A31" zoomScaleSheetLayoutView="100" workbookViewId="0">
      <selection activeCell="G25" sqref="G25"/>
    </sheetView>
  </sheetViews>
  <sheetFormatPr defaultRowHeight="12.75"/>
  <cols>
    <col min="1" max="1" width="4.140625" style="2" customWidth="1"/>
    <col min="2" max="2" width="9.140625" style="2"/>
    <col min="3" max="3" width="61.42578125" style="2" customWidth="1"/>
    <col min="4" max="4" width="11.28515625" style="2" customWidth="1"/>
    <col min="5" max="6" width="12" style="2" customWidth="1"/>
    <col min="7" max="7" width="14.42578125" style="2" customWidth="1"/>
    <col min="8" max="8" width="14" style="2" customWidth="1"/>
    <col min="9" max="16384" width="9.140625" style="2"/>
  </cols>
  <sheetData>
    <row r="1" spans="2:8" ht="6.75" customHeight="1"/>
    <row r="2" spans="2:8" ht="12.75" customHeight="1">
      <c r="B2" s="691"/>
      <c r="C2" s="691"/>
      <c r="D2" s="691"/>
      <c r="E2" s="691"/>
      <c r="F2" s="691"/>
      <c r="G2" s="691"/>
      <c r="H2" s="691"/>
    </row>
    <row r="3" spans="2:8" ht="33.75" customHeight="1">
      <c r="B3" s="692" t="s">
        <v>754</v>
      </c>
      <c r="C3" s="692"/>
      <c r="D3" s="692"/>
      <c r="E3" s="692"/>
      <c r="F3" s="692"/>
      <c r="G3" s="692"/>
      <c r="H3" s="692"/>
    </row>
    <row r="4" spans="2:8" ht="12.75" customHeight="1">
      <c r="B4" s="563"/>
      <c r="C4" s="563"/>
      <c r="D4" s="563"/>
      <c r="E4" s="563"/>
      <c r="F4" s="563"/>
      <c r="G4" s="563"/>
      <c r="H4" s="563"/>
    </row>
    <row r="5" spans="2:8" ht="12.75" customHeight="1">
      <c r="B5" s="564" t="s">
        <v>42</v>
      </c>
      <c r="C5" s="564"/>
      <c r="D5" s="564"/>
      <c r="E5" s="564"/>
      <c r="F5" s="564"/>
      <c r="G5" s="564"/>
      <c r="H5" s="564"/>
    </row>
    <row r="6" spans="2:8" ht="13.5" customHeight="1">
      <c r="B6" s="693" t="s">
        <v>7</v>
      </c>
      <c r="C6" s="693" t="s">
        <v>8</v>
      </c>
      <c r="D6" s="693" t="s">
        <v>0</v>
      </c>
      <c r="E6" s="693" t="s">
        <v>144</v>
      </c>
      <c r="F6" s="693"/>
      <c r="G6" s="693"/>
      <c r="H6" s="693"/>
    </row>
    <row r="7" spans="2:8" ht="37.5" customHeight="1">
      <c r="B7" s="693"/>
      <c r="C7" s="693"/>
      <c r="D7" s="693"/>
      <c r="E7" s="693" t="s">
        <v>145</v>
      </c>
      <c r="F7" s="693" t="s">
        <v>48</v>
      </c>
      <c r="G7" s="693" t="s">
        <v>49</v>
      </c>
      <c r="H7" s="693" t="s">
        <v>146</v>
      </c>
    </row>
    <row r="8" spans="2:8">
      <c r="B8" s="693"/>
      <c r="C8" s="693"/>
      <c r="D8" s="693"/>
      <c r="E8" s="693"/>
      <c r="F8" s="693"/>
      <c r="G8" s="693"/>
      <c r="H8" s="693"/>
    </row>
    <row r="9" spans="2:8" ht="8.25" customHeight="1">
      <c r="B9" s="693"/>
      <c r="C9" s="693"/>
      <c r="D9" s="693"/>
      <c r="E9" s="693"/>
      <c r="F9" s="693"/>
      <c r="G9" s="693"/>
      <c r="H9" s="693"/>
    </row>
    <row r="10" spans="2:8">
      <c r="B10" s="256">
        <v>1</v>
      </c>
      <c r="C10" s="246">
        <v>2</v>
      </c>
      <c r="D10" s="246">
        <v>3</v>
      </c>
      <c r="E10" s="246">
        <v>4</v>
      </c>
      <c r="F10" s="246">
        <v>5</v>
      </c>
      <c r="G10" s="246">
        <v>6</v>
      </c>
      <c r="H10" s="246">
        <v>7</v>
      </c>
    </row>
    <row r="11" spans="2:8">
      <c r="B11" s="255">
        <v>1</v>
      </c>
      <c r="C11" s="251" t="s">
        <v>147</v>
      </c>
      <c r="D11" s="247" t="s">
        <v>53</v>
      </c>
      <c r="E11" s="247">
        <v>0</v>
      </c>
      <c r="F11" s="247">
        <v>0</v>
      </c>
      <c r="G11" s="247">
        <v>11.68</v>
      </c>
      <c r="H11" s="257">
        <f>H12+H17+H18+H22</f>
        <v>251.07</v>
      </c>
    </row>
    <row r="12" spans="2:8">
      <c r="B12" s="253" t="s">
        <v>23</v>
      </c>
      <c r="C12" s="251" t="s">
        <v>148</v>
      </c>
      <c r="D12" s="247" t="s">
        <v>53</v>
      </c>
      <c r="E12" s="247">
        <v>0</v>
      </c>
      <c r="F12" s="247">
        <v>0</v>
      </c>
      <c r="G12" s="247">
        <v>0</v>
      </c>
      <c r="H12" s="247">
        <f>H13+H14+H15+H16</f>
        <v>0</v>
      </c>
    </row>
    <row r="13" spans="2:8">
      <c r="B13" s="253" t="s">
        <v>55</v>
      </c>
      <c r="C13" s="251" t="s">
        <v>58</v>
      </c>
      <c r="D13" s="247" t="s">
        <v>53</v>
      </c>
      <c r="E13" s="247">
        <v>0</v>
      </c>
      <c r="F13" s="247">
        <v>0</v>
      </c>
      <c r="G13" s="247">
        <v>0</v>
      </c>
      <c r="H13" s="247">
        <v>0</v>
      </c>
    </row>
    <row r="14" spans="2:8" ht="25.5">
      <c r="B14" s="253" t="s">
        <v>57</v>
      </c>
      <c r="C14" s="251" t="s">
        <v>149</v>
      </c>
      <c r="D14" s="247" t="s">
        <v>53</v>
      </c>
      <c r="E14" s="247">
        <v>0</v>
      </c>
      <c r="F14" s="247">
        <v>0</v>
      </c>
      <c r="G14" s="247">
        <v>0</v>
      </c>
      <c r="H14" s="247">
        <v>0</v>
      </c>
    </row>
    <row r="15" spans="2:8">
      <c r="B15" s="253" t="s">
        <v>59</v>
      </c>
      <c r="C15" s="251" t="s">
        <v>150</v>
      </c>
      <c r="D15" s="247" t="s">
        <v>53</v>
      </c>
      <c r="E15" s="247">
        <v>0</v>
      </c>
      <c r="F15" s="247">
        <v>0</v>
      </c>
      <c r="G15" s="247">
        <v>0</v>
      </c>
      <c r="H15" s="247">
        <v>0</v>
      </c>
    </row>
    <row r="16" spans="2:8">
      <c r="B16" s="253" t="s">
        <v>61</v>
      </c>
      <c r="C16" s="251" t="s">
        <v>64</v>
      </c>
      <c r="D16" s="247" t="s">
        <v>53</v>
      </c>
      <c r="E16" s="247">
        <v>0</v>
      </c>
      <c r="F16" s="247">
        <v>0</v>
      </c>
      <c r="G16" s="247">
        <v>0</v>
      </c>
      <c r="H16" s="247">
        <v>0</v>
      </c>
    </row>
    <row r="17" spans="2:10">
      <c r="B17" s="253" t="s">
        <v>25</v>
      </c>
      <c r="C17" s="251" t="s">
        <v>151</v>
      </c>
      <c r="D17" s="247" t="s">
        <v>53</v>
      </c>
      <c r="E17" s="247">
        <v>0</v>
      </c>
      <c r="F17" s="247">
        <v>0</v>
      </c>
      <c r="G17" s="247">
        <v>0</v>
      </c>
      <c r="H17" s="247">
        <v>0</v>
      </c>
    </row>
    <row r="18" spans="2:10">
      <c r="B18" s="253" t="s">
        <v>66</v>
      </c>
      <c r="C18" s="251" t="s">
        <v>152</v>
      </c>
      <c r="D18" s="247" t="s">
        <v>53</v>
      </c>
      <c r="E18" s="247">
        <v>0</v>
      </c>
      <c r="F18" s="247">
        <v>0</v>
      </c>
      <c r="G18" s="247">
        <v>11.68</v>
      </c>
      <c r="H18" s="257">
        <f>H19+H20+H21</f>
        <v>199.35</v>
      </c>
    </row>
    <row r="19" spans="2:10">
      <c r="B19" s="253" t="s">
        <v>68</v>
      </c>
      <c r="C19" s="251" t="s">
        <v>69</v>
      </c>
      <c r="D19" s="247" t="s">
        <v>53</v>
      </c>
      <c r="E19" s="247">
        <v>0</v>
      </c>
      <c r="F19" s="247">
        <v>0</v>
      </c>
      <c r="G19" s="247">
        <v>0</v>
      </c>
      <c r="H19" s="247">
        <v>0</v>
      </c>
    </row>
    <row r="20" spans="2:10">
      <c r="B20" s="253" t="s">
        <v>70</v>
      </c>
      <c r="C20" s="251" t="s">
        <v>71</v>
      </c>
      <c r="D20" s="247" t="s">
        <v>53</v>
      </c>
      <c r="E20" s="247">
        <v>0</v>
      </c>
      <c r="F20" s="247">
        <v>0</v>
      </c>
      <c r="G20" s="247">
        <v>0</v>
      </c>
      <c r="H20" s="247">
        <v>0</v>
      </c>
    </row>
    <row r="21" spans="2:10">
      <c r="B21" s="253" t="s">
        <v>72</v>
      </c>
      <c r="C21" s="251" t="s">
        <v>73</v>
      </c>
      <c r="D21" s="247" t="s">
        <v>53</v>
      </c>
      <c r="E21" s="247">
        <v>0</v>
      </c>
      <c r="F21" s="247">
        <v>0</v>
      </c>
      <c r="G21" s="247">
        <v>11.68</v>
      </c>
      <c r="H21" s="458">
        <v>199.35</v>
      </c>
      <c r="J21" s="2" t="s">
        <v>656</v>
      </c>
    </row>
    <row r="22" spans="2:10">
      <c r="B22" s="253" t="s">
        <v>74</v>
      </c>
      <c r="C22" s="251" t="s">
        <v>153</v>
      </c>
      <c r="D22" s="247" t="s">
        <v>53</v>
      </c>
      <c r="E22" s="247">
        <v>0</v>
      </c>
      <c r="F22" s="247">
        <v>0</v>
      </c>
      <c r="G22" s="247">
        <v>0</v>
      </c>
      <c r="H22" s="458">
        <f>H23+H24+H25</f>
        <v>51.72</v>
      </c>
    </row>
    <row r="23" spans="2:10">
      <c r="B23" s="253" t="s">
        <v>76</v>
      </c>
      <c r="C23" s="251" t="s">
        <v>77</v>
      </c>
      <c r="D23" s="247" t="s">
        <v>53</v>
      </c>
      <c r="E23" s="247">
        <v>0</v>
      </c>
      <c r="F23" s="247">
        <v>0</v>
      </c>
      <c r="G23" s="247">
        <v>0</v>
      </c>
      <c r="H23" s="247">
        <v>0</v>
      </c>
    </row>
    <row r="24" spans="2:10">
      <c r="B24" s="253" t="s">
        <v>78</v>
      </c>
      <c r="C24" s="251" t="s">
        <v>69</v>
      </c>
      <c r="D24" s="247" t="s">
        <v>53</v>
      </c>
      <c r="E24" s="247">
        <v>0</v>
      </c>
      <c r="F24" s="247">
        <v>0</v>
      </c>
      <c r="G24" s="247">
        <v>0</v>
      </c>
      <c r="H24" s="247">
        <v>0</v>
      </c>
    </row>
    <row r="25" spans="2:10">
      <c r="B25" s="253" t="s">
        <v>79</v>
      </c>
      <c r="C25" s="251" t="s">
        <v>80</v>
      </c>
      <c r="D25" s="247" t="s">
        <v>53</v>
      </c>
      <c r="E25" s="247">
        <v>0</v>
      </c>
      <c r="F25" s="247">
        <v>0</v>
      </c>
      <c r="G25" s="247">
        <v>0</v>
      </c>
      <c r="H25" s="257">
        <v>51.72</v>
      </c>
    </row>
    <row r="26" spans="2:10">
      <c r="B26" s="253">
        <v>2</v>
      </c>
      <c r="C26" s="251" t="s">
        <v>154</v>
      </c>
      <c r="D26" s="247" t="s">
        <v>53</v>
      </c>
      <c r="E26" s="247">
        <v>0</v>
      </c>
      <c r="F26" s="247">
        <v>0</v>
      </c>
      <c r="G26" s="247">
        <v>276</v>
      </c>
      <c r="H26" s="257">
        <f>H27+H28+H29</f>
        <v>348.53999999999996</v>
      </c>
    </row>
    <row r="27" spans="2:10">
      <c r="B27" s="253" t="s">
        <v>26</v>
      </c>
      <c r="C27" s="251" t="s">
        <v>77</v>
      </c>
      <c r="D27" s="247" t="s">
        <v>53</v>
      </c>
      <c r="E27" s="247">
        <v>0</v>
      </c>
      <c r="F27" s="247">
        <v>0</v>
      </c>
      <c r="G27" s="247">
        <v>87.34</v>
      </c>
      <c r="H27" s="458">
        <f>('[1] ТЕ на 20 -21 по таб от 170820'!$F$67+'[1] ТЕ на 20 -21 по таб от 170820'!$F$68)/3/1000</f>
        <v>222.5</v>
      </c>
    </row>
    <row r="28" spans="2:10">
      <c r="B28" s="253" t="s">
        <v>27</v>
      </c>
      <c r="C28" s="251" t="s">
        <v>82</v>
      </c>
      <c r="D28" s="247" t="s">
        <v>53</v>
      </c>
      <c r="E28" s="247">
        <v>0</v>
      </c>
      <c r="F28" s="247">
        <v>0</v>
      </c>
      <c r="G28" s="247">
        <v>19.21</v>
      </c>
      <c r="H28" s="458">
        <f>'[1] ТЕ на 20 -21 по таб от 170820'!$F$70/3/1000</f>
        <v>48.95</v>
      </c>
    </row>
    <row r="29" spans="2:10">
      <c r="B29" s="253" t="s">
        <v>83</v>
      </c>
      <c r="C29" s="251" t="s">
        <v>80</v>
      </c>
      <c r="D29" s="247" t="s">
        <v>53</v>
      </c>
      <c r="E29" s="247">
        <v>0</v>
      </c>
      <c r="F29" s="247">
        <v>0</v>
      </c>
      <c r="G29" s="247">
        <v>169.45</v>
      </c>
      <c r="H29" s="458">
        <v>77.09</v>
      </c>
    </row>
    <row r="30" spans="2:10">
      <c r="B30" s="253">
        <v>3</v>
      </c>
      <c r="C30" s="251" t="s">
        <v>155</v>
      </c>
      <c r="D30" s="247" t="s">
        <v>53</v>
      </c>
      <c r="E30" s="247">
        <v>0</v>
      </c>
      <c r="F30" s="247">
        <v>0</v>
      </c>
      <c r="G30" s="247">
        <v>0</v>
      </c>
      <c r="H30" s="247">
        <v>0</v>
      </c>
    </row>
    <row r="31" spans="2:10">
      <c r="B31" s="253" t="s">
        <v>2</v>
      </c>
      <c r="C31" s="251" t="s">
        <v>77</v>
      </c>
      <c r="D31" s="247" t="s">
        <v>53</v>
      </c>
      <c r="E31" s="247">
        <v>0</v>
      </c>
      <c r="F31" s="247">
        <v>0</v>
      </c>
      <c r="G31" s="247">
        <v>0</v>
      </c>
      <c r="H31" s="247">
        <v>0</v>
      </c>
    </row>
    <row r="32" spans="2:10">
      <c r="B32" s="253" t="s">
        <v>85</v>
      </c>
      <c r="C32" s="251" t="s">
        <v>82</v>
      </c>
      <c r="D32" s="247" t="s">
        <v>53</v>
      </c>
      <c r="E32" s="247">
        <v>0</v>
      </c>
      <c r="F32" s="247">
        <v>0</v>
      </c>
      <c r="G32" s="247">
        <v>0</v>
      </c>
      <c r="H32" s="247">
        <v>0</v>
      </c>
    </row>
    <row r="33" spans="2:8">
      <c r="B33" s="253" t="s">
        <v>86</v>
      </c>
      <c r="C33" s="251" t="s">
        <v>156</v>
      </c>
      <c r="D33" s="247" t="s">
        <v>53</v>
      </c>
      <c r="E33" s="247">
        <v>0</v>
      </c>
      <c r="F33" s="247">
        <v>0</v>
      </c>
      <c r="G33" s="247">
        <v>0</v>
      </c>
      <c r="H33" s="247">
        <v>0</v>
      </c>
    </row>
    <row r="34" spans="2:8">
      <c r="B34" s="253">
        <v>4</v>
      </c>
      <c r="C34" s="251" t="s">
        <v>157</v>
      </c>
      <c r="D34" s="247" t="s">
        <v>53</v>
      </c>
      <c r="E34" s="247">
        <v>0</v>
      </c>
      <c r="F34" s="247">
        <v>0</v>
      </c>
      <c r="G34" s="247">
        <v>0</v>
      </c>
      <c r="H34" s="247">
        <v>0</v>
      </c>
    </row>
    <row r="35" spans="2:8">
      <c r="B35" s="253">
        <v>5</v>
      </c>
      <c r="C35" s="251" t="s">
        <v>88</v>
      </c>
      <c r="D35" s="247" t="s">
        <v>53</v>
      </c>
      <c r="E35" s="247">
        <v>0</v>
      </c>
      <c r="F35" s="247">
        <v>0</v>
      </c>
      <c r="G35" s="247">
        <v>0</v>
      </c>
      <c r="H35" s="247">
        <v>0</v>
      </c>
    </row>
    <row r="36" spans="2:8" ht="14.25">
      <c r="B36" s="253">
        <v>6</v>
      </c>
      <c r="C36" s="251" t="s">
        <v>158</v>
      </c>
      <c r="D36" s="247" t="s">
        <v>53</v>
      </c>
      <c r="E36" s="247">
        <v>0</v>
      </c>
      <c r="F36" s="247">
        <v>0</v>
      </c>
      <c r="G36" s="247">
        <v>287.68</v>
      </c>
      <c r="H36" s="257">
        <f>H11+H26+H30+H34</f>
        <v>599.6099999999999</v>
      </c>
    </row>
    <row r="37" spans="2:8">
      <c r="B37" s="253">
        <v>7</v>
      </c>
      <c r="C37" s="251" t="s">
        <v>159</v>
      </c>
      <c r="D37" s="247" t="s">
        <v>53</v>
      </c>
      <c r="E37" s="247">
        <v>0</v>
      </c>
      <c r="F37" s="247">
        <v>0</v>
      </c>
      <c r="G37" s="247">
        <v>0</v>
      </c>
      <c r="H37" s="247">
        <v>0</v>
      </c>
    </row>
    <row r="38" spans="2:8">
      <c r="B38" s="253" t="s">
        <v>91</v>
      </c>
      <c r="C38" s="251" t="s">
        <v>92</v>
      </c>
      <c r="D38" s="247" t="s">
        <v>53</v>
      </c>
      <c r="E38" s="247" t="s">
        <v>160</v>
      </c>
      <c r="F38" s="247" t="s">
        <v>160</v>
      </c>
      <c r="G38" s="247">
        <v>0</v>
      </c>
      <c r="H38" s="247">
        <v>0</v>
      </c>
    </row>
    <row r="39" spans="2:8">
      <c r="B39" s="253" t="s">
        <v>94</v>
      </c>
      <c r="C39" s="251" t="s">
        <v>95</v>
      </c>
      <c r="D39" s="247" t="s">
        <v>53</v>
      </c>
      <c r="E39" s="247" t="s">
        <v>160</v>
      </c>
      <c r="F39" s="247" t="s">
        <v>160</v>
      </c>
      <c r="G39" s="247">
        <v>0</v>
      </c>
      <c r="H39" s="247">
        <v>0</v>
      </c>
    </row>
    <row r="40" spans="2:8">
      <c r="B40" s="258" t="s">
        <v>96</v>
      </c>
      <c r="C40" s="249" t="s">
        <v>97</v>
      </c>
      <c r="D40" s="248" t="s">
        <v>53</v>
      </c>
      <c r="E40" s="248" t="s">
        <v>160</v>
      </c>
      <c r="F40" s="248" t="s">
        <v>160</v>
      </c>
      <c r="G40" s="248">
        <v>0</v>
      </c>
      <c r="H40" s="248">
        <v>0</v>
      </c>
    </row>
    <row r="41" spans="2:8">
      <c r="B41" s="252" t="s">
        <v>98</v>
      </c>
      <c r="C41" s="250" t="s">
        <v>99</v>
      </c>
      <c r="D41" s="254" t="s">
        <v>53</v>
      </c>
      <c r="E41" s="254" t="s">
        <v>160</v>
      </c>
      <c r="F41" s="254" t="s">
        <v>160</v>
      </c>
      <c r="G41" s="254">
        <v>0</v>
      </c>
      <c r="H41" s="254">
        <v>0</v>
      </c>
    </row>
    <row r="42" spans="2:8">
      <c r="B42" s="252" t="s">
        <v>100</v>
      </c>
      <c r="C42" s="250" t="s">
        <v>101</v>
      </c>
      <c r="D42" s="254" t="s">
        <v>53</v>
      </c>
      <c r="E42" s="254" t="s">
        <v>160</v>
      </c>
      <c r="F42" s="254" t="s">
        <v>160</v>
      </c>
      <c r="G42" s="254">
        <v>0</v>
      </c>
      <c r="H42" s="254">
        <v>0</v>
      </c>
    </row>
    <row r="43" spans="2:8" ht="25.5">
      <c r="B43" s="253">
        <v>8</v>
      </c>
      <c r="C43" s="251" t="s">
        <v>161</v>
      </c>
      <c r="D43" s="247" t="s">
        <v>53</v>
      </c>
      <c r="E43" s="247">
        <v>0</v>
      </c>
      <c r="F43" s="247">
        <v>0</v>
      </c>
      <c r="G43" s="247">
        <v>287.68</v>
      </c>
      <c r="H43" s="257">
        <f>H36</f>
        <v>599.6099999999999</v>
      </c>
    </row>
    <row r="44" spans="2:8">
      <c r="B44" s="253">
        <v>9</v>
      </c>
      <c r="C44" s="251" t="s">
        <v>162</v>
      </c>
      <c r="D44" s="247" t="s">
        <v>104</v>
      </c>
      <c r="E44" s="247">
        <v>0</v>
      </c>
      <c r="F44" s="247">
        <v>0</v>
      </c>
      <c r="G44" s="257">
        <v>42.29</v>
      </c>
      <c r="H44" s="257">
        <f>H43/H45*1000</f>
        <v>186.43662006865327</v>
      </c>
    </row>
    <row r="45" spans="2:8">
      <c r="B45" s="253">
        <v>10</v>
      </c>
      <c r="C45" s="251" t="s">
        <v>163</v>
      </c>
      <c r="D45" s="247" t="s">
        <v>22</v>
      </c>
      <c r="E45" s="247">
        <v>0</v>
      </c>
      <c r="F45" s="247">
        <v>0</v>
      </c>
      <c r="G45" s="247">
        <v>6871.3</v>
      </c>
      <c r="H45" s="247">
        <v>3216.16</v>
      </c>
    </row>
    <row r="46" spans="2:8">
      <c r="B46" s="253" t="s">
        <v>164</v>
      </c>
      <c r="C46" s="251" t="s">
        <v>165</v>
      </c>
      <c r="D46" s="247" t="s">
        <v>22</v>
      </c>
      <c r="E46" s="247">
        <v>0</v>
      </c>
      <c r="F46" s="247">
        <v>0</v>
      </c>
      <c r="G46" s="247">
        <v>6871.3</v>
      </c>
      <c r="H46" s="247">
        <v>3216.16</v>
      </c>
    </row>
    <row r="47" spans="2:8" ht="25.5">
      <c r="B47" s="253" t="s">
        <v>166</v>
      </c>
      <c r="C47" s="251" t="s">
        <v>167</v>
      </c>
      <c r="D47" s="247" t="s">
        <v>22</v>
      </c>
      <c r="E47" s="247">
        <v>0</v>
      </c>
      <c r="F47" s="247">
        <v>0</v>
      </c>
      <c r="G47" s="247">
        <v>0</v>
      </c>
      <c r="H47" s="247">
        <v>0</v>
      </c>
    </row>
    <row r="48" spans="2:8">
      <c r="B48" s="253">
        <v>11</v>
      </c>
      <c r="C48" s="251" t="s">
        <v>168</v>
      </c>
      <c r="D48" s="247" t="s">
        <v>22</v>
      </c>
      <c r="E48" s="247">
        <v>0</v>
      </c>
      <c r="F48" s="247">
        <v>0</v>
      </c>
      <c r="G48" s="247">
        <v>68.709999999999994</v>
      </c>
      <c r="H48" s="247">
        <f>H49+H50</f>
        <v>91.549999999999727</v>
      </c>
    </row>
    <row r="49" spans="2:10">
      <c r="B49" s="253" t="s">
        <v>169</v>
      </c>
      <c r="C49" s="251" t="s">
        <v>165</v>
      </c>
      <c r="D49" s="247" t="s">
        <v>22</v>
      </c>
      <c r="E49" s="247">
        <v>0</v>
      </c>
      <c r="F49" s="247">
        <v>0</v>
      </c>
      <c r="G49" s="247">
        <v>68.709999999999994</v>
      </c>
      <c r="H49" s="247">
        <f>H46-H54</f>
        <v>91.549999999999727</v>
      </c>
    </row>
    <row r="50" spans="2:10">
      <c r="B50" s="253" t="s">
        <v>170</v>
      </c>
      <c r="C50" s="251" t="s">
        <v>171</v>
      </c>
      <c r="D50" s="247" t="s">
        <v>22</v>
      </c>
      <c r="E50" s="247">
        <v>0</v>
      </c>
      <c r="F50" s="247">
        <v>0</v>
      </c>
      <c r="G50" s="247">
        <v>0</v>
      </c>
      <c r="H50" s="247">
        <v>0</v>
      </c>
    </row>
    <row r="51" spans="2:10" ht="15" customHeight="1">
      <c r="B51" s="253">
        <v>12</v>
      </c>
      <c r="C51" s="251" t="s">
        <v>172</v>
      </c>
      <c r="D51" s="247" t="s">
        <v>22</v>
      </c>
      <c r="E51" s="247">
        <v>0</v>
      </c>
      <c r="F51" s="247">
        <v>0</v>
      </c>
      <c r="G51" s="247">
        <v>6802.59</v>
      </c>
      <c r="H51" s="247">
        <f>H54+H53+H52</f>
        <v>3124.61</v>
      </c>
    </row>
    <row r="52" spans="2:10">
      <c r="B52" s="253" t="s">
        <v>173</v>
      </c>
      <c r="C52" s="251" t="s">
        <v>174</v>
      </c>
      <c r="D52" s="247" t="s">
        <v>22</v>
      </c>
      <c r="E52" s="247">
        <v>0</v>
      </c>
      <c r="F52" s="247">
        <v>0</v>
      </c>
      <c r="G52" s="247">
        <v>0</v>
      </c>
      <c r="H52" s="247">
        <v>0</v>
      </c>
    </row>
    <row r="53" spans="2:10">
      <c r="B53" s="253" t="s">
        <v>175</v>
      </c>
      <c r="C53" s="251" t="s">
        <v>176</v>
      </c>
      <c r="D53" s="247" t="s">
        <v>22</v>
      </c>
      <c r="E53" s="247">
        <v>0</v>
      </c>
      <c r="F53" s="247">
        <v>0</v>
      </c>
      <c r="G53" s="247">
        <v>0</v>
      </c>
      <c r="H53" s="247">
        <v>0</v>
      </c>
    </row>
    <row r="54" spans="2:10" ht="25.5">
      <c r="B54" s="253" t="s">
        <v>177</v>
      </c>
      <c r="C54" s="251" t="s">
        <v>178</v>
      </c>
      <c r="D54" s="247" t="s">
        <v>22</v>
      </c>
      <c r="E54" s="247">
        <v>0</v>
      </c>
      <c r="F54" s="247">
        <v>0</v>
      </c>
      <c r="G54" s="247">
        <v>6802.59</v>
      </c>
      <c r="H54" s="247">
        <f>H55+H56+H57</f>
        <v>3124.61</v>
      </c>
    </row>
    <row r="55" spans="2:10">
      <c r="B55" s="253" t="s">
        <v>179</v>
      </c>
      <c r="C55" s="251" t="s">
        <v>34</v>
      </c>
      <c r="D55" s="247" t="s">
        <v>22</v>
      </c>
      <c r="E55" s="247">
        <v>0</v>
      </c>
      <c r="F55" s="247">
        <v>0</v>
      </c>
      <c r="G55" s="247">
        <v>0</v>
      </c>
      <c r="H55" s="247">
        <v>0</v>
      </c>
    </row>
    <row r="56" spans="2:10">
      <c r="B56" s="253" t="s">
        <v>180</v>
      </c>
      <c r="C56" s="251" t="s">
        <v>36</v>
      </c>
      <c r="D56" s="247" t="s">
        <v>22</v>
      </c>
      <c r="E56" s="247">
        <v>0</v>
      </c>
      <c r="F56" s="247">
        <v>0</v>
      </c>
      <c r="G56" s="247">
        <v>6802.59</v>
      </c>
      <c r="H56" s="247">
        <v>3124.61</v>
      </c>
    </row>
    <row r="57" spans="2:10">
      <c r="B57" s="253" t="s">
        <v>181</v>
      </c>
      <c r="C57" s="251" t="s">
        <v>38</v>
      </c>
      <c r="D57" s="247" t="s">
        <v>22</v>
      </c>
      <c r="E57" s="247">
        <v>0</v>
      </c>
      <c r="F57" s="247">
        <v>0</v>
      </c>
      <c r="G57" s="247">
        <v>0</v>
      </c>
      <c r="H57" s="247">
        <v>0</v>
      </c>
    </row>
    <row r="58" spans="2:10" ht="25.5">
      <c r="B58" s="253">
        <v>13</v>
      </c>
      <c r="C58" s="251" t="s">
        <v>182</v>
      </c>
      <c r="D58" s="247" t="s">
        <v>22</v>
      </c>
      <c r="E58" s="247">
        <v>0</v>
      </c>
      <c r="F58" s="247">
        <v>0</v>
      </c>
      <c r="G58" s="247">
        <v>4094.72</v>
      </c>
      <c r="H58" s="247">
        <v>1946.03</v>
      </c>
      <c r="I58" s="2">
        <f>1819.15+81.96+27.23+17.69</f>
        <v>1946.0300000000002</v>
      </c>
      <c r="J58" s="2" t="s">
        <v>657</v>
      </c>
    </row>
    <row r="59" spans="2:10" ht="25.5">
      <c r="B59" s="253">
        <v>14</v>
      </c>
      <c r="C59" s="251" t="s">
        <v>183</v>
      </c>
      <c r="D59" s="247" t="s">
        <v>104</v>
      </c>
      <c r="E59" s="247">
        <v>0</v>
      </c>
      <c r="F59" s="247">
        <v>0</v>
      </c>
      <c r="G59" s="247">
        <v>0</v>
      </c>
      <c r="H59" s="247">
        <v>0</v>
      </c>
    </row>
    <row r="60" spans="2:10">
      <c r="B60" s="685"/>
      <c r="C60" s="685"/>
      <c r="D60" s="685"/>
      <c r="E60" s="685"/>
      <c r="F60" s="685"/>
      <c r="G60" s="685"/>
      <c r="H60" s="685"/>
    </row>
    <row r="61" spans="2:10" ht="18.75" customHeight="1">
      <c r="B61" s="694" t="s">
        <v>184</v>
      </c>
      <c r="C61" s="694"/>
      <c r="D61" s="694"/>
      <c r="E61" s="694"/>
      <c r="F61" s="694"/>
      <c r="G61" s="694"/>
      <c r="H61" s="694"/>
    </row>
    <row r="62" spans="2:10">
      <c r="B62" s="558"/>
      <c r="C62" s="558"/>
      <c r="D62" s="558"/>
      <c r="E62" s="558"/>
      <c r="F62" s="558"/>
      <c r="G62" s="558"/>
      <c r="H62" s="558"/>
    </row>
    <row r="63" spans="2:10">
      <c r="B63" s="556"/>
      <c r="C63" s="556"/>
      <c r="D63" s="556"/>
      <c r="E63" s="556"/>
      <c r="F63" s="556"/>
      <c r="G63" s="556"/>
      <c r="H63" s="556"/>
    </row>
    <row r="64" spans="2:10" ht="12.75" customHeight="1">
      <c r="B64" s="558"/>
      <c r="C64" s="558"/>
      <c r="D64" s="558"/>
      <c r="E64" s="558"/>
      <c r="F64" s="558"/>
      <c r="G64" s="558"/>
      <c r="H64" s="558"/>
    </row>
    <row r="65" spans="2:8" ht="12.75" customHeight="1">
      <c r="B65" s="556" t="s">
        <v>388</v>
      </c>
      <c r="C65" s="556"/>
      <c r="D65" s="556"/>
      <c r="E65" s="556"/>
      <c r="F65" s="556"/>
      <c r="G65" s="556"/>
      <c r="H65" s="556"/>
    </row>
    <row r="66" spans="2:8" ht="12.75" customHeight="1">
      <c r="B66" s="558"/>
      <c r="C66" s="558"/>
      <c r="D66" s="558"/>
      <c r="E66" s="558"/>
      <c r="F66" s="558"/>
      <c r="G66" s="558"/>
      <c r="H66" s="558"/>
    </row>
    <row r="67" spans="2:8">
      <c r="B67" s="558"/>
      <c r="C67" s="558"/>
      <c r="D67" s="558"/>
      <c r="E67" s="558"/>
      <c r="F67" s="558"/>
      <c r="G67" s="558"/>
      <c r="H67" s="558"/>
    </row>
    <row r="68" spans="2:8" ht="12.75" customHeight="1">
      <c r="B68" s="565" t="s">
        <v>6</v>
      </c>
      <c r="C68" s="565"/>
      <c r="D68" s="565"/>
      <c r="E68" s="565"/>
      <c r="F68" s="565"/>
      <c r="G68" s="565"/>
      <c r="H68" s="565"/>
    </row>
    <row r="69" spans="2:8">
      <c r="B69" s="558"/>
      <c r="C69" s="558"/>
      <c r="D69" s="558"/>
      <c r="E69" s="558"/>
      <c r="F69" s="558"/>
      <c r="G69" s="558"/>
      <c r="H69" s="558"/>
    </row>
    <row r="70" spans="2:8" ht="14.25">
      <c r="B70" s="694"/>
      <c r="C70" s="694"/>
      <c r="D70" s="694"/>
      <c r="E70" s="694"/>
      <c r="F70" s="694"/>
      <c r="G70" s="694"/>
      <c r="H70" s="694"/>
    </row>
    <row r="71" spans="2:8">
      <c r="B71" s="683"/>
      <c r="C71" s="683"/>
      <c r="D71" s="683"/>
      <c r="E71" s="683"/>
      <c r="F71" s="683"/>
      <c r="G71" s="683"/>
      <c r="H71" s="683"/>
    </row>
  </sheetData>
  <sheetProtection selectLockedCells="1" selectUnlockedCells="1"/>
  <mergeCells count="24">
    <mergeCell ref="B71:H71"/>
    <mergeCell ref="B65:H65"/>
    <mergeCell ref="B66:H66"/>
    <mergeCell ref="B67:H67"/>
    <mergeCell ref="B68:H68"/>
    <mergeCell ref="B69:H69"/>
    <mergeCell ref="B70:H70"/>
    <mergeCell ref="B60:H60"/>
    <mergeCell ref="B61:H61"/>
    <mergeCell ref="B62:H62"/>
    <mergeCell ref="B63:H63"/>
    <mergeCell ref="B64:H64"/>
    <mergeCell ref="B2:H2"/>
    <mergeCell ref="B3:H3"/>
    <mergeCell ref="B4:H4"/>
    <mergeCell ref="B5:H5"/>
    <mergeCell ref="B6:B9"/>
    <mergeCell ref="C6:C9"/>
    <mergeCell ref="D6:D9"/>
    <mergeCell ref="E6:H6"/>
    <mergeCell ref="E7:E9"/>
    <mergeCell ref="F7:F9"/>
    <mergeCell ref="G7:G9"/>
    <mergeCell ref="H7:H9"/>
  </mergeCells>
  <pageMargins left="0.39370078740157483" right="0.39370078740157483" top="0.39370078740157483" bottom="0.39370078740157483" header="0" footer="0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/>
  </sheetPr>
  <dimension ref="B2:R58"/>
  <sheetViews>
    <sheetView topLeftCell="A28" workbookViewId="0">
      <selection activeCell="M37" sqref="M37"/>
    </sheetView>
  </sheetViews>
  <sheetFormatPr defaultRowHeight="12.75"/>
  <cols>
    <col min="1" max="1" width="1.28515625" style="245" customWidth="1"/>
    <col min="2" max="2" width="54.140625" style="245" customWidth="1"/>
    <col min="3" max="3" width="10.140625" style="245" bestFit="1" customWidth="1"/>
    <col min="4" max="4" width="11.7109375" style="245" customWidth="1"/>
    <col min="5" max="5" width="10.140625" style="245" bestFit="1" customWidth="1"/>
    <col min="6" max="7" width="9.28515625" style="245" bestFit="1" customWidth="1"/>
    <col min="8" max="8" width="10.140625" style="245" bestFit="1" customWidth="1"/>
    <col min="9" max="9" width="16.42578125" style="245" customWidth="1"/>
    <col min="10" max="11" width="9.140625" style="245"/>
    <col min="12" max="12" width="12.85546875" style="245" customWidth="1"/>
    <col min="13" max="16384" width="9.140625" style="245"/>
  </cols>
  <sheetData>
    <row r="2" spans="2:15" ht="12.75" customHeight="1"/>
    <row r="3" spans="2:15" ht="12.75" customHeight="1">
      <c r="B3" s="563" t="s">
        <v>40</v>
      </c>
      <c r="C3" s="563"/>
      <c r="D3" s="563"/>
      <c r="E3" s="563"/>
      <c r="F3" s="563"/>
      <c r="G3" s="563"/>
      <c r="H3" s="563"/>
      <c r="I3" s="563"/>
    </row>
    <row r="4" spans="2:15" ht="11.25" customHeight="1">
      <c r="B4" s="563" t="s">
        <v>713</v>
      </c>
      <c r="C4" s="563"/>
      <c r="D4" s="563"/>
      <c r="E4" s="563"/>
      <c r="F4" s="563"/>
      <c r="G4" s="563"/>
      <c r="H4" s="563"/>
      <c r="I4" s="563"/>
    </row>
    <row r="5" spans="2:15" ht="7.5" customHeight="1">
      <c r="B5" s="558"/>
      <c r="C5" s="558"/>
      <c r="D5" s="558"/>
      <c r="E5" s="558"/>
      <c r="F5" s="558"/>
      <c r="G5" s="558"/>
      <c r="H5" s="558"/>
      <c r="I5" s="558"/>
    </row>
    <row r="6" spans="2:15" ht="13.5" thickBot="1">
      <c r="B6" s="564" t="s">
        <v>42</v>
      </c>
      <c r="C6" s="564"/>
      <c r="D6" s="564"/>
      <c r="E6" s="564"/>
      <c r="F6" s="564"/>
      <c r="G6" s="564"/>
      <c r="H6" s="564"/>
      <c r="I6" s="564"/>
    </row>
    <row r="7" spans="2:15" ht="91.5" thickBot="1">
      <c r="B7" s="405" t="s">
        <v>712</v>
      </c>
      <c r="C7" s="404" t="s">
        <v>711</v>
      </c>
      <c r="D7" s="404" t="s">
        <v>710</v>
      </c>
      <c r="E7" s="404" t="s">
        <v>709</v>
      </c>
      <c r="F7" s="404" t="s">
        <v>708</v>
      </c>
      <c r="G7" s="404" t="s">
        <v>707</v>
      </c>
      <c r="H7" s="404" t="s">
        <v>706</v>
      </c>
      <c r="I7" s="404" t="s">
        <v>705</v>
      </c>
    </row>
    <row r="8" spans="2:15" ht="21" customHeight="1" thickBot="1">
      <c r="B8" s="403" t="s">
        <v>704</v>
      </c>
      <c r="C8" s="408">
        <v>6871.3</v>
      </c>
      <c r="D8" s="408">
        <v>158.77000000000001</v>
      </c>
      <c r="E8" s="408">
        <v>1090.97</v>
      </c>
      <c r="F8" s="408">
        <v>1.1499999999999999</v>
      </c>
      <c r="G8" s="408">
        <v>948.67</v>
      </c>
      <c r="H8" s="408">
        <v>6968.2100000000009</v>
      </c>
      <c r="I8" s="408">
        <v>6610.531780700001</v>
      </c>
    </row>
    <row r="9" spans="2:15" ht="13.5" thickBot="1">
      <c r="B9" s="398" t="s">
        <v>34</v>
      </c>
      <c r="C9" s="397" t="s">
        <v>24</v>
      </c>
      <c r="D9" s="397" t="s">
        <v>24</v>
      </c>
      <c r="E9" s="397" t="s">
        <v>24</v>
      </c>
      <c r="F9" s="397" t="s">
        <v>24</v>
      </c>
      <c r="G9" s="397" t="s">
        <v>24</v>
      </c>
      <c r="H9" s="397" t="s">
        <v>24</v>
      </c>
      <c r="I9" s="397" t="s">
        <v>24</v>
      </c>
      <c r="L9" s="23">
        <v>6610531.7807000009</v>
      </c>
      <c r="O9" s="245">
        <f>L9/G8</f>
        <v>6968.2100000000009</v>
      </c>
    </row>
    <row r="10" spans="2:15" ht="20.25" customHeight="1" thickBot="1">
      <c r="B10" s="398" t="s">
        <v>36</v>
      </c>
      <c r="C10" s="397">
        <v>6871.3</v>
      </c>
      <c r="D10" s="397">
        <v>158.77000000000001</v>
      </c>
      <c r="E10" s="407">
        <v>1090.97</v>
      </c>
      <c r="F10" s="397">
        <v>1.1499999999999999</v>
      </c>
      <c r="G10" s="397">
        <v>948.67</v>
      </c>
      <c r="H10" s="397">
        <v>6968.2100000000009</v>
      </c>
      <c r="I10" s="397">
        <v>6610.531780700001</v>
      </c>
      <c r="L10" s="245" t="s">
        <v>703</v>
      </c>
      <c r="M10" s="245">
        <v>6235.51</v>
      </c>
    </row>
    <row r="11" spans="2:15" ht="13.5" thickBot="1">
      <c r="B11" s="398" t="s">
        <v>38</v>
      </c>
      <c r="C11" s="395" t="s">
        <v>24</v>
      </c>
      <c r="D11" s="395" t="s">
        <v>24</v>
      </c>
      <c r="E11" s="395" t="s">
        <v>24</v>
      </c>
      <c r="F11" s="395" t="s">
        <v>24</v>
      </c>
      <c r="G11" s="395" t="s">
        <v>24</v>
      </c>
      <c r="H11" s="395" t="s">
        <v>24</v>
      </c>
      <c r="I11" s="395" t="s">
        <v>24</v>
      </c>
      <c r="L11" s="245" t="s">
        <v>715</v>
      </c>
      <c r="M11" s="245">
        <v>10.6</v>
      </c>
    </row>
    <row r="12" spans="2:15" ht="13.5" thickBot="1">
      <c r="B12" s="398" t="s">
        <v>699</v>
      </c>
      <c r="C12" s="395" t="s">
        <v>24</v>
      </c>
      <c r="D12" s="395" t="s">
        <v>24</v>
      </c>
      <c r="E12" s="395" t="s">
        <v>24</v>
      </c>
      <c r="F12" s="395" t="s">
        <v>24</v>
      </c>
      <c r="G12" s="395" t="s">
        <v>24</v>
      </c>
      <c r="H12" s="395" t="s">
        <v>24</v>
      </c>
      <c r="I12" s="395" t="s">
        <v>24</v>
      </c>
      <c r="L12" s="245" t="s">
        <v>714</v>
      </c>
      <c r="M12" s="245">
        <v>722.1</v>
      </c>
    </row>
    <row r="13" spans="2:15" ht="13.5" thickBot="1">
      <c r="B13" s="398" t="s">
        <v>34</v>
      </c>
      <c r="C13" s="395" t="s">
        <v>24</v>
      </c>
      <c r="D13" s="395" t="s">
        <v>24</v>
      </c>
      <c r="E13" s="395" t="s">
        <v>24</v>
      </c>
      <c r="F13" s="395" t="s">
        <v>24</v>
      </c>
      <c r="G13" s="395" t="s">
        <v>24</v>
      </c>
      <c r="H13" s="395" t="s">
        <v>24</v>
      </c>
      <c r="I13" s="395" t="s">
        <v>24</v>
      </c>
      <c r="M13" s="406">
        <v>6968.2100000000009</v>
      </c>
    </row>
    <row r="14" spans="2:15" ht="13.5" thickBot="1">
      <c r="B14" s="398" t="s">
        <v>36</v>
      </c>
      <c r="C14" s="395" t="s">
        <v>24</v>
      </c>
      <c r="D14" s="395" t="s">
        <v>24</v>
      </c>
      <c r="E14" s="395" t="s">
        <v>24</v>
      </c>
      <c r="F14" s="395" t="s">
        <v>24</v>
      </c>
      <c r="G14" s="395" t="s">
        <v>24</v>
      </c>
      <c r="H14" s="395" t="s">
        <v>24</v>
      </c>
      <c r="I14" s="395" t="s">
        <v>24</v>
      </c>
    </row>
    <row r="15" spans="2:15" ht="13.5" thickBot="1">
      <c r="B15" s="398" t="s">
        <v>38</v>
      </c>
      <c r="C15" s="395" t="s">
        <v>24</v>
      </c>
      <c r="D15" s="395" t="s">
        <v>24</v>
      </c>
      <c r="E15" s="395" t="s">
        <v>24</v>
      </c>
      <c r="F15" s="395" t="s">
        <v>24</v>
      </c>
      <c r="G15" s="395" t="s">
        <v>24</v>
      </c>
      <c r="H15" s="395" t="s">
        <v>24</v>
      </c>
      <c r="I15" s="395" t="s">
        <v>24</v>
      </c>
    </row>
    <row r="16" spans="2:15" ht="13.5" thickBot="1">
      <c r="B16" s="398" t="s">
        <v>698</v>
      </c>
      <c r="C16" s="395" t="s">
        <v>24</v>
      </c>
      <c r="D16" s="395" t="s">
        <v>24</v>
      </c>
      <c r="E16" s="395" t="s">
        <v>24</v>
      </c>
      <c r="F16" s="395" t="s">
        <v>24</v>
      </c>
      <c r="G16" s="395" t="s">
        <v>24</v>
      </c>
      <c r="H16" s="395" t="s">
        <v>24</v>
      </c>
      <c r="I16" s="395" t="s">
        <v>24</v>
      </c>
    </row>
    <row r="17" spans="2:18" ht="13.5" thickBot="1">
      <c r="B17" s="398" t="s">
        <v>34</v>
      </c>
      <c r="C17" s="395" t="s">
        <v>24</v>
      </c>
      <c r="D17" s="395" t="s">
        <v>24</v>
      </c>
      <c r="E17" s="395" t="s">
        <v>24</v>
      </c>
      <c r="F17" s="395" t="s">
        <v>24</v>
      </c>
      <c r="G17" s="395" t="s">
        <v>24</v>
      </c>
      <c r="H17" s="395" t="s">
        <v>24</v>
      </c>
      <c r="I17" s="395" t="s">
        <v>24</v>
      </c>
    </row>
    <row r="18" spans="2:18" ht="13.5" thickBot="1">
      <c r="B18" s="398" t="s">
        <v>36</v>
      </c>
      <c r="C18" s="395" t="s">
        <v>24</v>
      </c>
      <c r="D18" s="395" t="s">
        <v>24</v>
      </c>
      <c r="E18" s="395" t="s">
        <v>24</v>
      </c>
      <c r="F18" s="395" t="s">
        <v>24</v>
      </c>
      <c r="G18" s="395" t="s">
        <v>24</v>
      </c>
      <c r="H18" s="395" t="s">
        <v>24</v>
      </c>
      <c r="I18" s="395" t="s">
        <v>24</v>
      </c>
    </row>
    <row r="19" spans="2:18" ht="13.5" thickBot="1">
      <c r="B19" s="398" t="s">
        <v>38</v>
      </c>
      <c r="C19" s="395" t="s">
        <v>24</v>
      </c>
      <c r="D19" s="395" t="s">
        <v>24</v>
      </c>
      <c r="E19" s="395" t="s">
        <v>24</v>
      </c>
      <c r="F19" s="395" t="s">
        <v>24</v>
      </c>
      <c r="G19" s="395" t="s">
        <v>24</v>
      </c>
      <c r="H19" s="395" t="s">
        <v>24</v>
      </c>
      <c r="I19" s="395" t="s">
        <v>24</v>
      </c>
    </row>
    <row r="20" spans="2:18" ht="13.5" thickBot="1">
      <c r="B20" s="398" t="s">
        <v>697</v>
      </c>
      <c r="C20" s="395" t="s">
        <v>24</v>
      </c>
      <c r="D20" s="395" t="s">
        <v>24</v>
      </c>
      <c r="E20" s="395" t="s">
        <v>24</v>
      </c>
      <c r="F20" s="395" t="s">
        <v>24</v>
      </c>
      <c r="G20" s="395" t="s">
        <v>24</v>
      </c>
      <c r="H20" s="395" t="s">
        <v>24</v>
      </c>
      <c r="I20" s="395" t="s">
        <v>24</v>
      </c>
    </row>
    <row r="21" spans="2:18" ht="13.5" thickBot="1">
      <c r="B21" s="398" t="s">
        <v>34</v>
      </c>
      <c r="C21" s="395" t="s">
        <v>24</v>
      </c>
      <c r="D21" s="395" t="s">
        <v>24</v>
      </c>
      <c r="E21" s="395" t="s">
        <v>24</v>
      </c>
      <c r="F21" s="395" t="s">
        <v>24</v>
      </c>
      <c r="G21" s="395" t="s">
        <v>24</v>
      </c>
      <c r="H21" s="395" t="s">
        <v>24</v>
      </c>
      <c r="I21" s="395" t="s">
        <v>24</v>
      </c>
    </row>
    <row r="22" spans="2:18" ht="13.5" thickBot="1">
      <c r="B22" s="398" t="s">
        <v>36</v>
      </c>
      <c r="C22" s="395" t="s">
        <v>24</v>
      </c>
      <c r="D22" s="395" t="s">
        <v>24</v>
      </c>
      <c r="E22" s="395" t="s">
        <v>24</v>
      </c>
      <c r="F22" s="395" t="s">
        <v>24</v>
      </c>
      <c r="G22" s="395" t="s">
        <v>24</v>
      </c>
      <c r="H22" s="395" t="s">
        <v>24</v>
      </c>
      <c r="I22" s="395" t="s">
        <v>24</v>
      </c>
    </row>
    <row r="23" spans="2:18" ht="13.5" thickBot="1">
      <c r="B23" s="398" t="s">
        <v>38</v>
      </c>
      <c r="C23" s="395" t="s">
        <v>24</v>
      </c>
      <c r="D23" s="395" t="s">
        <v>24</v>
      </c>
      <c r="E23" s="395" t="s">
        <v>24</v>
      </c>
      <c r="F23" s="395" t="s">
        <v>24</v>
      </c>
      <c r="G23" s="395" t="s">
        <v>24</v>
      </c>
      <c r="H23" s="395" t="s">
        <v>24</v>
      </c>
      <c r="I23" s="395" t="s">
        <v>24</v>
      </c>
    </row>
    <row r="24" spans="2:18" ht="20.25" customHeight="1" thickBot="1">
      <c r="B24" s="398" t="s">
        <v>696</v>
      </c>
      <c r="C24" s="397">
        <v>6871.3</v>
      </c>
      <c r="D24" s="397">
        <v>158.77000000000001</v>
      </c>
      <c r="E24" s="397">
        <v>1090.97</v>
      </c>
      <c r="F24" s="397">
        <v>1.1499999999999999</v>
      </c>
      <c r="G24" s="397">
        <v>948.67</v>
      </c>
      <c r="H24" s="397">
        <v>6968.2100000000009</v>
      </c>
      <c r="I24" s="397">
        <v>6610.531780700001</v>
      </c>
    </row>
    <row r="25" spans="2:18" ht="13.5" thickBot="1">
      <c r="B25" s="398" t="s">
        <v>34</v>
      </c>
      <c r="C25" s="397" t="s">
        <v>24</v>
      </c>
      <c r="D25" s="397" t="s">
        <v>24</v>
      </c>
      <c r="E25" s="397" t="s">
        <v>24</v>
      </c>
      <c r="F25" s="397" t="s">
        <v>24</v>
      </c>
      <c r="G25" s="397" t="s">
        <v>24</v>
      </c>
      <c r="H25" s="397" t="s">
        <v>24</v>
      </c>
      <c r="I25" s="397" t="s">
        <v>24</v>
      </c>
    </row>
    <row r="26" spans="2:18" ht="20.25" customHeight="1" thickBot="1">
      <c r="B26" s="398" t="s">
        <v>36</v>
      </c>
      <c r="C26" s="397">
        <v>6871.3</v>
      </c>
      <c r="D26" s="397">
        <v>158.77000000000001</v>
      </c>
      <c r="E26" s="397">
        <v>1090.97</v>
      </c>
      <c r="F26" s="397">
        <v>1.1499999999999999</v>
      </c>
      <c r="G26" s="397">
        <v>948.67</v>
      </c>
      <c r="H26" s="397">
        <v>6968.2100000000009</v>
      </c>
      <c r="I26" s="397">
        <v>6610.531780700001</v>
      </c>
    </row>
    <row r="27" spans="2:18" ht="13.5" customHeight="1" thickBot="1">
      <c r="B27" s="396" t="s">
        <v>38</v>
      </c>
      <c r="C27" s="395" t="s">
        <v>24</v>
      </c>
      <c r="D27" s="395" t="s">
        <v>24</v>
      </c>
      <c r="E27" s="395" t="s">
        <v>24</v>
      </c>
      <c r="F27" s="395" t="s">
        <v>24</v>
      </c>
      <c r="G27" s="395" t="s">
        <v>24</v>
      </c>
      <c r="H27" s="395" t="s">
        <v>24</v>
      </c>
      <c r="I27" s="395" t="s">
        <v>24</v>
      </c>
    </row>
    <row r="28" spans="2:18" ht="12.75" customHeight="1"/>
    <row r="29" spans="2:18" ht="36.75" customHeight="1">
      <c r="B29" s="563" t="s">
        <v>40</v>
      </c>
      <c r="C29" s="563"/>
      <c r="D29" s="563"/>
      <c r="E29" s="563"/>
      <c r="F29" s="563"/>
      <c r="G29" s="563"/>
      <c r="H29" s="563"/>
      <c r="I29" s="563"/>
      <c r="J29" s="556"/>
      <c r="K29" s="556"/>
      <c r="L29" s="556"/>
      <c r="M29" s="556"/>
      <c r="N29" s="556"/>
      <c r="O29" s="556"/>
      <c r="P29" s="556"/>
      <c r="Q29" s="556"/>
      <c r="R29" s="556"/>
    </row>
    <row r="30" spans="2:18" ht="12.75" customHeight="1">
      <c r="B30" s="563" t="s">
        <v>716</v>
      </c>
      <c r="C30" s="563"/>
      <c r="D30" s="563"/>
      <c r="E30" s="563"/>
      <c r="F30" s="563"/>
      <c r="G30" s="563"/>
      <c r="H30" s="563"/>
      <c r="I30" s="563"/>
    </row>
    <row r="31" spans="2:18">
      <c r="B31" s="558"/>
      <c r="C31" s="558"/>
      <c r="D31" s="558"/>
      <c r="E31" s="558"/>
      <c r="F31" s="558"/>
      <c r="G31" s="558"/>
      <c r="H31" s="558"/>
      <c r="I31" s="558"/>
    </row>
    <row r="32" spans="2:18" ht="12.75" customHeight="1" thickBot="1">
      <c r="B32" s="564" t="s">
        <v>42</v>
      </c>
      <c r="C32" s="564"/>
      <c r="D32" s="564"/>
      <c r="E32" s="564"/>
      <c r="F32" s="564"/>
      <c r="G32" s="564"/>
      <c r="H32" s="564"/>
      <c r="I32" s="564"/>
    </row>
    <row r="33" spans="2:14" ht="12.75" customHeight="1" thickBot="1">
      <c r="B33" s="405" t="s">
        <v>712</v>
      </c>
      <c r="C33" s="404" t="s">
        <v>711</v>
      </c>
      <c r="D33" s="404" t="s">
        <v>710</v>
      </c>
      <c r="E33" s="404" t="s">
        <v>709</v>
      </c>
      <c r="F33" s="404" t="s">
        <v>708</v>
      </c>
      <c r="G33" s="404" t="s">
        <v>707</v>
      </c>
      <c r="H33" s="404" t="s">
        <v>706</v>
      </c>
      <c r="I33" s="404" t="s">
        <v>705</v>
      </c>
    </row>
    <row r="34" spans="2:14" ht="13.5" thickBot="1">
      <c r="B34" s="403" t="s">
        <v>704</v>
      </c>
      <c r="C34" s="402">
        <v>3216.16</v>
      </c>
      <c r="D34" s="402">
        <v>159.25</v>
      </c>
      <c r="E34" s="402">
        <f>D34*C34/1000</f>
        <v>512.17347999999993</v>
      </c>
      <c r="F34" s="402">
        <v>1.1499999999999999</v>
      </c>
      <c r="G34" s="402">
        <f>E34*F34</f>
        <v>588.99950199999989</v>
      </c>
      <c r="H34" s="402">
        <f>M37</f>
        <v>4416.9000000000005</v>
      </c>
      <c r="I34" s="402">
        <f>M37*G34/1000</f>
        <v>2601.5519003837999</v>
      </c>
      <c r="M34" s="245" t="s">
        <v>703</v>
      </c>
      <c r="N34" s="245">
        <v>4279.51</v>
      </c>
    </row>
    <row r="35" spans="2:14" ht="13.5" thickBot="1">
      <c r="B35" s="398" t="s">
        <v>34</v>
      </c>
      <c r="C35" s="397" t="s">
        <v>24</v>
      </c>
      <c r="D35" s="397" t="s">
        <v>24</v>
      </c>
      <c r="E35" s="397" t="s">
        <v>24</v>
      </c>
      <c r="F35" s="397" t="s">
        <v>24</v>
      </c>
      <c r="G35" s="397" t="s">
        <v>24</v>
      </c>
      <c r="H35" s="397" t="s">
        <v>24</v>
      </c>
      <c r="I35" s="397" t="s">
        <v>24</v>
      </c>
      <c r="M35" s="245" t="s">
        <v>702</v>
      </c>
      <c r="N35" s="245">
        <v>137.38999999999999</v>
      </c>
    </row>
    <row r="36" spans="2:14" ht="13.5" thickBot="1">
      <c r="B36" s="398" t="s">
        <v>36</v>
      </c>
      <c r="C36" s="400">
        <v>3216.16</v>
      </c>
      <c r="D36" s="400">
        <v>159.25</v>
      </c>
      <c r="E36" s="401">
        <f>E34</f>
        <v>512.17347999999993</v>
      </c>
      <c r="F36" s="400">
        <v>1.1499999999999999</v>
      </c>
      <c r="G36" s="400">
        <f>G34</f>
        <v>588.99950199999989</v>
      </c>
      <c r="H36" s="400">
        <f>H34</f>
        <v>4416.9000000000005</v>
      </c>
      <c r="I36" s="400">
        <f>I34</f>
        <v>2601.5519003837999</v>
      </c>
      <c r="M36" s="245" t="s">
        <v>701</v>
      </c>
      <c r="N36" s="245">
        <v>110.4</v>
      </c>
    </row>
    <row r="37" spans="2:14" ht="13.5" thickBot="1">
      <c r="B37" s="398" t="s">
        <v>38</v>
      </c>
      <c r="C37" s="395" t="s">
        <v>24</v>
      </c>
      <c r="D37" s="395" t="s">
        <v>24</v>
      </c>
      <c r="E37" s="395" t="s">
        <v>24</v>
      </c>
      <c r="F37" s="395" t="s">
        <v>24</v>
      </c>
      <c r="G37" s="395" t="s">
        <v>24</v>
      </c>
      <c r="H37" s="395" t="s">
        <v>24</v>
      </c>
      <c r="I37" s="395" t="s">
        <v>24</v>
      </c>
      <c r="L37" s="399" t="s">
        <v>700</v>
      </c>
      <c r="M37" s="186">
        <f>N34+N35</f>
        <v>4416.9000000000005</v>
      </c>
    </row>
    <row r="38" spans="2:14" ht="13.5" thickBot="1">
      <c r="B38" s="398" t="s">
        <v>699</v>
      </c>
      <c r="C38" s="395" t="s">
        <v>24</v>
      </c>
      <c r="D38" s="395" t="s">
        <v>24</v>
      </c>
      <c r="E38" s="395" t="s">
        <v>24</v>
      </c>
      <c r="F38" s="395" t="s">
        <v>24</v>
      </c>
      <c r="G38" s="395" t="s">
        <v>24</v>
      </c>
      <c r="H38" s="395" t="s">
        <v>24</v>
      </c>
      <c r="I38" s="395" t="s">
        <v>24</v>
      </c>
    </row>
    <row r="39" spans="2:14" ht="13.5" thickBot="1">
      <c r="B39" s="398" t="s">
        <v>34</v>
      </c>
      <c r="C39" s="395" t="s">
        <v>24</v>
      </c>
      <c r="D39" s="395" t="s">
        <v>24</v>
      </c>
      <c r="E39" s="395" t="s">
        <v>24</v>
      </c>
      <c r="F39" s="395" t="s">
        <v>24</v>
      </c>
      <c r="G39" s="395" t="s">
        <v>24</v>
      </c>
      <c r="H39" s="395" t="s">
        <v>24</v>
      </c>
      <c r="I39" s="395" t="s">
        <v>24</v>
      </c>
    </row>
    <row r="40" spans="2:14" ht="13.5" thickBot="1">
      <c r="B40" s="398" t="s">
        <v>36</v>
      </c>
      <c r="C40" s="395" t="s">
        <v>24</v>
      </c>
      <c r="D40" s="395" t="s">
        <v>24</v>
      </c>
      <c r="E40" s="395" t="s">
        <v>24</v>
      </c>
      <c r="F40" s="395" t="s">
        <v>24</v>
      </c>
      <c r="G40" s="395" t="s">
        <v>24</v>
      </c>
      <c r="H40" s="395" t="s">
        <v>24</v>
      </c>
      <c r="I40" s="395" t="s">
        <v>24</v>
      </c>
    </row>
    <row r="41" spans="2:14" ht="13.5" thickBot="1">
      <c r="B41" s="398" t="s">
        <v>38</v>
      </c>
      <c r="C41" s="395" t="s">
        <v>24</v>
      </c>
      <c r="D41" s="395" t="s">
        <v>24</v>
      </c>
      <c r="E41" s="395" t="s">
        <v>24</v>
      </c>
      <c r="F41" s="395" t="s">
        <v>24</v>
      </c>
      <c r="G41" s="395" t="s">
        <v>24</v>
      </c>
      <c r="H41" s="395" t="s">
        <v>24</v>
      </c>
      <c r="I41" s="395" t="s">
        <v>24</v>
      </c>
    </row>
    <row r="42" spans="2:14" ht="13.5" thickBot="1">
      <c r="B42" s="398" t="s">
        <v>698</v>
      </c>
      <c r="C42" s="395" t="s">
        <v>24</v>
      </c>
      <c r="D42" s="395" t="s">
        <v>24</v>
      </c>
      <c r="E42" s="395" t="s">
        <v>24</v>
      </c>
      <c r="F42" s="395" t="s">
        <v>24</v>
      </c>
      <c r="G42" s="395" t="s">
        <v>24</v>
      </c>
      <c r="H42" s="395" t="s">
        <v>24</v>
      </c>
      <c r="I42" s="395" t="s">
        <v>24</v>
      </c>
    </row>
    <row r="43" spans="2:14" ht="13.5" thickBot="1">
      <c r="B43" s="398" t="s">
        <v>34</v>
      </c>
      <c r="C43" s="395" t="s">
        <v>24</v>
      </c>
      <c r="D43" s="395" t="s">
        <v>24</v>
      </c>
      <c r="E43" s="395" t="s">
        <v>24</v>
      </c>
      <c r="F43" s="395" t="s">
        <v>24</v>
      </c>
      <c r="G43" s="395" t="s">
        <v>24</v>
      </c>
      <c r="H43" s="395" t="s">
        <v>24</v>
      </c>
      <c r="I43" s="395" t="s">
        <v>24</v>
      </c>
    </row>
    <row r="44" spans="2:14" ht="13.5" thickBot="1">
      <c r="B44" s="398" t="s">
        <v>36</v>
      </c>
      <c r="C44" s="395" t="s">
        <v>24</v>
      </c>
      <c r="D44" s="395" t="s">
        <v>24</v>
      </c>
      <c r="E44" s="395" t="s">
        <v>24</v>
      </c>
      <c r="F44" s="395" t="s">
        <v>24</v>
      </c>
      <c r="G44" s="395" t="s">
        <v>24</v>
      </c>
      <c r="H44" s="395" t="s">
        <v>24</v>
      </c>
      <c r="I44" s="395" t="s">
        <v>24</v>
      </c>
    </row>
    <row r="45" spans="2:14" ht="13.5" thickBot="1">
      <c r="B45" s="398" t="s">
        <v>38</v>
      </c>
      <c r="C45" s="395" t="s">
        <v>24</v>
      </c>
      <c r="D45" s="395" t="s">
        <v>24</v>
      </c>
      <c r="E45" s="395" t="s">
        <v>24</v>
      </c>
      <c r="F45" s="395" t="s">
        <v>24</v>
      </c>
      <c r="G45" s="395" t="s">
        <v>24</v>
      </c>
      <c r="H45" s="395" t="s">
        <v>24</v>
      </c>
      <c r="I45" s="395" t="s">
        <v>24</v>
      </c>
    </row>
    <row r="46" spans="2:14" ht="13.5" thickBot="1">
      <c r="B46" s="398" t="s">
        <v>697</v>
      </c>
      <c r="C46" s="395" t="s">
        <v>24</v>
      </c>
      <c r="D46" s="395" t="s">
        <v>24</v>
      </c>
      <c r="E46" s="395" t="s">
        <v>24</v>
      </c>
      <c r="F46" s="395" t="s">
        <v>24</v>
      </c>
      <c r="G46" s="395" t="s">
        <v>24</v>
      </c>
      <c r="H46" s="395" t="s">
        <v>24</v>
      </c>
      <c r="I46" s="395" t="s">
        <v>24</v>
      </c>
    </row>
    <row r="47" spans="2:14" ht="13.5" thickBot="1">
      <c r="B47" s="398" t="s">
        <v>34</v>
      </c>
      <c r="C47" s="395" t="s">
        <v>24</v>
      </c>
      <c r="D47" s="395" t="s">
        <v>24</v>
      </c>
      <c r="E47" s="395" t="s">
        <v>24</v>
      </c>
      <c r="F47" s="395" t="s">
        <v>24</v>
      </c>
      <c r="G47" s="395" t="s">
        <v>24</v>
      </c>
      <c r="H47" s="395" t="s">
        <v>24</v>
      </c>
      <c r="I47" s="395" t="s">
        <v>24</v>
      </c>
    </row>
    <row r="48" spans="2:14" ht="13.5" thickBot="1">
      <c r="B48" s="398" t="s">
        <v>36</v>
      </c>
      <c r="C48" s="395" t="s">
        <v>24</v>
      </c>
      <c r="D48" s="395" t="s">
        <v>24</v>
      </c>
      <c r="E48" s="395" t="s">
        <v>24</v>
      </c>
      <c r="F48" s="395" t="s">
        <v>24</v>
      </c>
      <c r="G48" s="395" t="s">
        <v>24</v>
      </c>
      <c r="H48" s="395" t="s">
        <v>24</v>
      </c>
      <c r="I48" s="395" t="s">
        <v>24</v>
      </c>
    </row>
    <row r="49" spans="2:9" ht="13.5" thickBot="1">
      <c r="B49" s="398" t="s">
        <v>38</v>
      </c>
      <c r="C49" s="395" t="s">
        <v>24</v>
      </c>
      <c r="D49" s="395" t="s">
        <v>24</v>
      </c>
      <c r="E49" s="395" t="s">
        <v>24</v>
      </c>
      <c r="F49" s="395" t="s">
        <v>24</v>
      </c>
      <c r="G49" s="395" t="s">
        <v>24</v>
      </c>
      <c r="H49" s="395" t="s">
        <v>24</v>
      </c>
      <c r="I49" s="395" t="s">
        <v>24</v>
      </c>
    </row>
    <row r="50" spans="2:9" ht="13.5" thickBot="1">
      <c r="B50" s="398" t="s">
        <v>696</v>
      </c>
      <c r="C50" s="397">
        <f>C36</f>
        <v>3216.16</v>
      </c>
      <c r="D50" s="397">
        <f>D36</f>
        <v>159.25</v>
      </c>
      <c r="E50" s="397">
        <f>E36</f>
        <v>512.17347999999993</v>
      </c>
      <c r="F50" s="397">
        <v>1.1499999999999999</v>
      </c>
      <c r="G50" s="397">
        <f>G36</f>
        <v>588.99950199999989</v>
      </c>
      <c r="H50" s="397">
        <f>H36</f>
        <v>4416.9000000000005</v>
      </c>
      <c r="I50" s="397">
        <f>I36</f>
        <v>2601.5519003837999</v>
      </c>
    </row>
    <row r="51" spans="2:9" ht="13.5" thickBot="1">
      <c r="B51" s="398" t="s">
        <v>34</v>
      </c>
      <c r="C51" s="397" t="s">
        <v>24</v>
      </c>
      <c r="D51" s="397" t="s">
        <v>24</v>
      </c>
      <c r="E51" s="397" t="s">
        <v>24</v>
      </c>
      <c r="F51" s="397" t="s">
        <v>24</v>
      </c>
      <c r="G51" s="397" t="s">
        <v>24</v>
      </c>
      <c r="H51" s="397" t="s">
        <v>24</v>
      </c>
      <c r="I51" s="397" t="s">
        <v>24</v>
      </c>
    </row>
    <row r="52" spans="2:9" ht="13.5" thickBot="1">
      <c r="B52" s="398" t="s">
        <v>36</v>
      </c>
      <c r="C52" s="397">
        <f>C50</f>
        <v>3216.16</v>
      </c>
      <c r="D52" s="397">
        <f>D36</f>
        <v>159.25</v>
      </c>
      <c r="E52" s="397">
        <f>E36</f>
        <v>512.17347999999993</v>
      </c>
      <c r="F52" s="397">
        <v>1.1499999999999999</v>
      </c>
      <c r="G52" s="397">
        <f>G36</f>
        <v>588.99950199999989</v>
      </c>
      <c r="H52" s="397">
        <f>H36</f>
        <v>4416.9000000000005</v>
      </c>
      <c r="I52" s="397">
        <f>I36</f>
        <v>2601.5519003837999</v>
      </c>
    </row>
    <row r="53" spans="2:9" ht="13.5" thickBot="1">
      <c r="B53" s="396" t="s">
        <v>38</v>
      </c>
      <c r="C53" s="395" t="s">
        <v>24</v>
      </c>
      <c r="D53" s="395" t="s">
        <v>24</v>
      </c>
      <c r="E53" s="395" t="s">
        <v>24</v>
      </c>
      <c r="F53" s="395" t="s">
        <v>24</v>
      </c>
      <c r="G53" s="395" t="s">
        <v>24</v>
      </c>
      <c r="H53" s="395" t="s">
        <v>24</v>
      </c>
      <c r="I53" s="395" t="s">
        <v>24</v>
      </c>
    </row>
    <row r="55" spans="2:9">
      <c r="B55" s="556" t="s">
        <v>388</v>
      </c>
      <c r="C55" s="556"/>
      <c r="D55" s="556"/>
      <c r="E55" s="556"/>
      <c r="F55" s="556"/>
      <c r="G55" s="556"/>
      <c r="H55" s="556"/>
    </row>
    <row r="56" spans="2:9">
      <c r="B56" s="558"/>
      <c r="C56" s="558"/>
      <c r="D56" s="558"/>
      <c r="E56" s="558"/>
      <c r="F56" s="558"/>
      <c r="G56" s="558"/>
      <c r="H56" s="558"/>
    </row>
    <row r="57" spans="2:9">
      <c r="B57" s="565" t="s">
        <v>6</v>
      </c>
      <c r="C57" s="565"/>
      <c r="D57" s="565"/>
      <c r="E57" s="565"/>
      <c r="F57" s="565"/>
      <c r="G57" s="565"/>
      <c r="H57" s="565"/>
    </row>
    <row r="58" spans="2:9">
      <c r="B58" s="558"/>
      <c r="C58" s="558"/>
      <c r="D58" s="558"/>
      <c r="E58" s="558"/>
      <c r="F58" s="558"/>
      <c r="G58" s="558"/>
      <c r="H58" s="558"/>
    </row>
  </sheetData>
  <sheetProtection selectLockedCells="1" selectUnlockedCells="1"/>
  <mergeCells count="13">
    <mergeCell ref="J29:R29"/>
    <mergeCell ref="B30:I30"/>
    <mergeCell ref="B31:I31"/>
    <mergeCell ref="B56:H56"/>
    <mergeCell ref="B58:H58"/>
    <mergeCell ref="B57:H57"/>
    <mergeCell ref="B32:I32"/>
    <mergeCell ref="B55:H55"/>
    <mergeCell ref="B3:I3"/>
    <mergeCell ref="B4:I4"/>
    <mergeCell ref="B5:I5"/>
    <mergeCell ref="B6:I6"/>
    <mergeCell ref="B29:I29"/>
  </mergeCells>
  <pageMargins left="0.39370078740157483" right="0.39370078740157483" top="0.39370078740157483" bottom="0.39370078740157483" header="0" footer="0.39370078740157483"/>
  <pageSetup paperSize="9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53"/>
  <sheetViews>
    <sheetView topLeftCell="A7" zoomScaleSheetLayoutView="100" workbookViewId="0">
      <selection activeCell="G25" sqref="G25"/>
    </sheetView>
  </sheetViews>
  <sheetFormatPr defaultRowHeight="12.75"/>
  <cols>
    <col min="1" max="1" width="7.85546875" style="2" customWidth="1"/>
    <col min="2" max="2" width="41.7109375" style="2" customWidth="1"/>
    <col min="3" max="3" width="12.42578125" style="2" customWidth="1"/>
    <col min="4" max="5" width="11.42578125" style="2" customWidth="1"/>
    <col min="6" max="6" width="10.85546875" style="2" customWidth="1"/>
    <col min="7" max="7" width="12.42578125" style="2" customWidth="1"/>
    <col min="8" max="16384" width="9.140625" style="2"/>
  </cols>
  <sheetData>
    <row r="1" spans="1:9" ht="12.75" customHeight="1">
      <c r="A1" s="691"/>
      <c r="B1" s="691"/>
      <c r="C1" s="691"/>
      <c r="D1" s="691"/>
      <c r="E1" s="691"/>
      <c r="F1" s="691"/>
      <c r="G1" s="691"/>
    </row>
    <row r="2" spans="1:9">
      <c r="A2" s="558"/>
      <c r="B2" s="558"/>
      <c r="C2" s="558"/>
      <c r="D2" s="558"/>
      <c r="E2" s="558"/>
      <c r="F2" s="558"/>
      <c r="G2" s="558"/>
    </row>
    <row r="3" spans="1:9" ht="31.5" customHeight="1">
      <c r="A3" s="563" t="s">
        <v>755</v>
      </c>
      <c r="B3" s="563"/>
      <c r="C3" s="563"/>
      <c r="D3" s="563"/>
      <c r="E3" s="563"/>
      <c r="F3" s="563"/>
      <c r="G3" s="563"/>
    </row>
    <row r="4" spans="1:9" ht="12.75" customHeight="1">
      <c r="A4" s="563"/>
      <c r="B4" s="563"/>
      <c r="C4" s="563"/>
      <c r="D4" s="563"/>
      <c r="E4" s="563"/>
      <c r="F4" s="563"/>
      <c r="G4" s="563"/>
    </row>
    <row r="5" spans="1:9" ht="12.75" customHeight="1">
      <c r="A5" s="564" t="s">
        <v>42</v>
      </c>
      <c r="B5" s="564"/>
      <c r="C5" s="564"/>
      <c r="D5" s="564"/>
      <c r="E5" s="564"/>
      <c r="F5" s="564"/>
      <c r="G5" s="564"/>
    </row>
    <row r="6" spans="1:9" ht="13.5" customHeight="1">
      <c r="A6" s="695"/>
      <c r="B6" s="695"/>
      <c r="C6" s="695"/>
      <c r="D6" s="695"/>
      <c r="E6" s="695"/>
      <c r="F6" s="695"/>
      <c r="G6" s="695"/>
    </row>
    <row r="7" spans="1:9" ht="13.5" customHeight="1">
      <c r="A7" s="690" t="s">
        <v>7</v>
      </c>
      <c r="B7" s="690" t="s">
        <v>8</v>
      </c>
      <c r="C7" s="690" t="s">
        <v>0</v>
      </c>
      <c r="D7" s="690" t="s">
        <v>144</v>
      </c>
      <c r="E7" s="690"/>
      <c r="F7" s="690"/>
      <c r="G7" s="690"/>
    </row>
    <row r="8" spans="1:9" ht="51">
      <c r="A8" s="690"/>
      <c r="B8" s="690"/>
      <c r="C8" s="690"/>
      <c r="D8" s="3" t="s">
        <v>145</v>
      </c>
      <c r="E8" s="3" t="s">
        <v>9</v>
      </c>
      <c r="F8" s="3" t="s">
        <v>49</v>
      </c>
      <c r="G8" s="3" t="s">
        <v>51</v>
      </c>
    </row>
    <row r="9" spans="1:9">
      <c r="A9" s="4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</row>
    <row r="10" spans="1:9">
      <c r="A10" s="4">
        <v>1</v>
      </c>
      <c r="B10" s="5" t="s">
        <v>185</v>
      </c>
      <c r="C10" s="3" t="s">
        <v>53</v>
      </c>
      <c r="D10" s="3">
        <v>0</v>
      </c>
      <c r="E10" s="3">
        <v>0</v>
      </c>
      <c r="F10" s="3">
        <v>4.28</v>
      </c>
      <c r="G10" s="533">
        <f>G11+G12+G13+G17</f>
        <v>89.220399999999998</v>
      </c>
    </row>
    <row r="11" spans="1:9">
      <c r="A11" s="6" t="s">
        <v>23</v>
      </c>
      <c r="B11" s="5" t="s">
        <v>186</v>
      </c>
      <c r="C11" s="3" t="s">
        <v>53</v>
      </c>
      <c r="D11" s="3">
        <v>0</v>
      </c>
      <c r="E11" s="3">
        <v>0</v>
      </c>
      <c r="F11" s="3">
        <v>0</v>
      </c>
      <c r="G11" s="534">
        <v>0</v>
      </c>
    </row>
    <row r="12" spans="1:9">
      <c r="A12" s="6" t="s">
        <v>25</v>
      </c>
      <c r="B12" s="5" t="s">
        <v>65</v>
      </c>
      <c r="C12" s="3" t="s">
        <v>53</v>
      </c>
      <c r="D12" s="3">
        <v>0</v>
      </c>
      <c r="E12" s="3">
        <v>0</v>
      </c>
      <c r="F12" s="3">
        <v>0</v>
      </c>
      <c r="G12" s="533">
        <f>'[1] ТЕ на 20 -21 по таб от 170820'!$F$92/1000</f>
        <v>0</v>
      </c>
    </row>
    <row r="13" spans="1:9">
      <c r="A13" s="6" t="s">
        <v>66</v>
      </c>
      <c r="B13" s="5" t="s">
        <v>187</v>
      </c>
      <c r="C13" s="3" t="s">
        <v>53</v>
      </c>
      <c r="D13" s="3">
        <v>0</v>
      </c>
      <c r="E13" s="3">
        <v>0</v>
      </c>
      <c r="F13" s="3">
        <v>4.28</v>
      </c>
      <c r="G13" s="533">
        <f>G14+G15+G16</f>
        <v>37.500399999999999</v>
      </c>
    </row>
    <row r="14" spans="1:9">
      <c r="A14" s="6" t="s">
        <v>68</v>
      </c>
      <c r="B14" s="5" t="s">
        <v>69</v>
      </c>
      <c r="C14" s="3" t="s">
        <v>53</v>
      </c>
      <c r="D14" s="3">
        <v>0</v>
      </c>
      <c r="E14" s="3">
        <v>0</v>
      </c>
      <c r="F14" s="3">
        <v>0</v>
      </c>
      <c r="G14" s="534">
        <f>G12*0.22</f>
        <v>0</v>
      </c>
    </row>
    <row r="15" spans="1:9">
      <c r="A15" s="6" t="s">
        <v>70</v>
      </c>
      <c r="B15" s="5" t="s">
        <v>71</v>
      </c>
      <c r="C15" s="3" t="s">
        <v>53</v>
      </c>
      <c r="D15" s="3">
        <v>0</v>
      </c>
      <c r="E15" s="3">
        <v>0</v>
      </c>
      <c r="F15" s="3">
        <v>0</v>
      </c>
      <c r="G15" s="534">
        <v>0</v>
      </c>
    </row>
    <row r="16" spans="1:9">
      <c r="A16" s="6" t="s">
        <v>72</v>
      </c>
      <c r="B16" s="5" t="s">
        <v>73</v>
      </c>
      <c r="C16" s="3" t="s">
        <v>53</v>
      </c>
      <c r="D16" s="3">
        <v>0</v>
      </c>
      <c r="E16" s="3">
        <v>0</v>
      </c>
      <c r="F16" s="3">
        <v>4.28</v>
      </c>
      <c r="G16" s="533">
        <f>('[1] ТЕ на 20 -21 по таб от 170820'!$F$105+'[1] ТЕ на 20 -21 по таб от 170820'!$F$108)/1000</f>
        <v>37.500399999999999</v>
      </c>
      <c r="I16" s="2" t="s">
        <v>744</v>
      </c>
    </row>
    <row r="17" spans="1:7">
      <c r="A17" s="6" t="s">
        <v>74</v>
      </c>
      <c r="B17" s="5" t="s">
        <v>153</v>
      </c>
      <c r="C17" s="3" t="s">
        <v>53</v>
      </c>
      <c r="D17" s="3">
        <v>0</v>
      </c>
      <c r="E17" s="3">
        <v>0</v>
      </c>
      <c r="F17" s="3">
        <v>0</v>
      </c>
      <c r="G17" s="533">
        <f>G18+G19+G20</f>
        <v>51.72</v>
      </c>
    </row>
    <row r="18" spans="1:7">
      <c r="A18" s="6" t="s">
        <v>76</v>
      </c>
      <c r="B18" s="5" t="s">
        <v>77</v>
      </c>
      <c r="C18" s="3" t="s">
        <v>53</v>
      </c>
      <c r="D18" s="3">
        <v>0</v>
      </c>
      <c r="E18" s="3">
        <v>0</v>
      </c>
      <c r="F18" s="3">
        <v>0</v>
      </c>
      <c r="G18" s="534">
        <v>0</v>
      </c>
    </row>
    <row r="19" spans="1:7">
      <c r="A19" s="6" t="s">
        <v>78</v>
      </c>
      <c r="B19" s="5" t="s">
        <v>69</v>
      </c>
      <c r="C19" s="3" t="s">
        <v>53</v>
      </c>
      <c r="D19" s="3">
        <v>0</v>
      </c>
      <c r="E19" s="3">
        <v>0</v>
      </c>
      <c r="F19" s="3">
        <v>0</v>
      </c>
      <c r="G19" s="534">
        <v>0</v>
      </c>
    </row>
    <row r="20" spans="1:7">
      <c r="A20" s="6" t="s">
        <v>79</v>
      </c>
      <c r="B20" s="5" t="s">
        <v>80</v>
      </c>
      <c r="C20" s="3" t="s">
        <v>53</v>
      </c>
      <c r="D20" s="3">
        <v>0</v>
      </c>
      <c r="E20" s="3">
        <v>0</v>
      </c>
      <c r="F20" s="3">
        <v>0</v>
      </c>
      <c r="G20" s="533">
        <v>51.72</v>
      </c>
    </row>
    <row r="21" spans="1:7">
      <c r="A21" s="6">
        <v>2</v>
      </c>
      <c r="B21" s="5" t="s">
        <v>154</v>
      </c>
      <c r="C21" s="3" t="s">
        <v>53</v>
      </c>
      <c r="D21" s="3">
        <v>0</v>
      </c>
      <c r="E21" s="3">
        <v>0</v>
      </c>
      <c r="F21" s="3">
        <v>276</v>
      </c>
      <c r="G21" s="533">
        <f>G22+G23+G24</f>
        <v>348.53999999999996</v>
      </c>
    </row>
    <row r="22" spans="1:7">
      <c r="A22" s="6" t="s">
        <v>26</v>
      </c>
      <c r="B22" s="5" t="s">
        <v>77</v>
      </c>
      <c r="C22" s="3" t="s">
        <v>53</v>
      </c>
      <c r="D22" s="3">
        <v>0</v>
      </c>
      <c r="E22" s="3">
        <v>0</v>
      </c>
      <c r="F22" s="3">
        <v>87.34</v>
      </c>
      <c r="G22" s="533">
        <f>('[1] ТЕ на 20 -21 по таб от 170820'!$F$67+'[1] ТЕ на 20 -21 по таб от 170820'!$F$68)/3/1000</f>
        <v>222.5</v>
      </c>
    </row>
    <row r="23" spans="1:7">
      <c r="A23" s="6" t="s">
        <v>27</v>
      </c>
      <c r="B23" s="5" t="s">
        <v>82</v>
      </c>
      <c r="C23" s="3" t="s">
        <v>53</v>
      </c>
      <c r="D23" s="3">
        <v>0</v>
      </c>
      <c r="E23" s="3">
        <v>0</v>
      </c>
      <c r="F23" s="3">
        <v>19.21</v>
      </c>
      <c r="G23" s="533">
        <f>'[1] ТЕ на 20 -21 по таб от 170820'!$F$70/3/1000</f>
        <v>48.95</v>
      </c>
    </row>
    <row r="24" spans="1:7">
      <c r="A24" s="6" t="s">
        <v>83</v>
      </c>
      <c r="B24" s="5" t="s">
        <v>80</v>
      </c>
      <c r="C24" s="3" t="s">
        <v>53</v>
      </c>
      <c r="D24" s="3">
        <v>0</v>
      </c>
      <c r="E24" s="3">
        <v>0</v>
      </c>
      <c r="F24" s="3">
        <v>169.45</v>
      </c>
      <c r="G24" s="533">
        <v>77.09</v>
      </c>
    </row>
    <row r="25" spans="1:7">
      <c r="A25" s="6">
        <v>3</v>
      </c>
      <c r="B25" s="5" t="s">
        <v>188</v>
      </c>
      <c r="C25" s="3" t="s">
        <v>53</v>
      </c>
      <c r="D25" s="3">
        <v>0</v>
      </c>
      <c r="E25" s="3">
        <v>0</v>
      </c>
      <c r="F25" s="3">
        <v>0</v>
      </c>
      <c r="G25" s="534">
        <f>G26+G27+G28</f>
        <v>0</v>
      </c>
    </row>
    <row r="26" spans="1:7">
      <c r="A26" s="6" t="s">
        <v>2</v>
      </c>
      <c r="B26" s="5" t="s">
        <v>77</v>
      </c>
      <c r="C26" s="3" t="s">
        <v>53</v>
      </c>
      <c r="D26" s="3">
        <v>0</v>
      </c>
      <c r="E26" s="3">
        <v>0</v>
      </c>
      <c r="F26" s="3">
        <v>0</v>
      </c>
      <c r="G26" s="534">
        <v>0</v>
      </c>
    </row>
    <row r="27" spans="1:7">
      <c r="A27" s="6" t="s">
        <v>85</v>
      </c>
      <c r="B27" s="5" t="s">
        <v>82</v>
      </c>
      <c r="C27" s="3" t="s">
        <v>53</v>
      </c>
      <c r="D27" s="3">
        <v>0</v>
      </c>
      <c r="E27" s="3">
        <v>0</v>
      </c>
      <c r="F27" s="3">
        <v>0</v>
      </c>
      <c r="G27" s="534">
        <v>0</v>
      </c>
    </row>
    <row r="28" spans="1:7">
      <c r="A28" s="6" t="s">
        <v>86</v>
      </c>
      <c r="B28" s="5" t="s">
        <v>156</v>
      </c>
      <c r="C28" s="3" t="s">
        <v>53</v>
      </c>
      <c r="D28" s="3">
        <v>0</v>
      </c>
      <c r="E28" s="3">
        <v>0</v>
      </c>
      <c r="F28" s="3">
        <v>0</v>
      </c>
      <c r="G28" s="534">
        <v>0</v>
      </c>
    </row>
    <row r="29" spans="1:7">
      <c r="A29" s="6">
        <v>4</v>
      </c>
      <c r="B29" s="5" t="s">
        <v>189</v>
      </c>
      <c r="C29" s="3" t="s">
        <v>53</v>
      </c>
      <c r="D29" s="3">
        <v>0</v>
      </c>
      <c r="E29" s="3">
        <v>0</v>
      </c>
      <c r="F29" s="3">
        <v>0</v>
      </c>
      <c r="G29" s="534">
        <v>0</v>
      </c>
    </row>
    <row r="30" spans="1:7">
      <c r="A30" s="6">
        <v>5</v>
      </c>
      <c r="B30" s="5" t="s">
        <v>88</v>
      </c>
      <c r="C30" s="3" t="s">
        <v>53</v>
      </c>
      <c r="D30" s="3">
        <v>0</v>
      </c>
      <c r="E30" s="3">
        <v>0</v>
      </c>
      <c r="F30" s="3">
        <v>0</v>
      </c>
      <c r="G30" s="534">
        <v>0</v>
      </c>
    </row>
    <row r="31" spans="1:7">
      <c r="A31" s="6">
        <v>6</v>
      </c>
      <c r="B31" s="5" t="s">
        <v>190</v>
      </c>
      <c r="C31" s="3" t="s">
        <v>53</v>
      </c>
      <c r="D31" s="3">
        <v>0</v>
      </c>
      <c r="E31" s="3">
        <v>0</v>
      </c>
      <c r="F31" s="14">
        <v>280.27999999999997</v>
      </c>
      <c r="G31" s="533">
        <f>G30+G29+G25+G21+G10</f>
        <v>437.76039999999995</v>
      </c>
    </row>
    <row r="32" spans="1:7" ht="25.5">
      <c r="A32" s="6">
        <v>7</v>
      </c>
      <c r="B32" s="5" t="s">
        <v>191</v>
      </c>
      <c r="C32" s="3" t="s">
        <v>53</v>
      </c>
      <c r="D32" s="3">
        <v>0</v>
      </c>
      <c r="E32" s="3">
        <v>0</v>
      </c>
      <c r="F32" s="3">
        <v>0</v>
      </c>
      <c r="G32" s="534">
        <v>0</v>
      </c>
    </row>
    <row r="33" spans="1:7">
      <c r="A33" s="6" t="s">
        <v>91</v>
      </c>
      <c r="B33" s="5" t="s">
        <v>92</v>
      </c>
      <c r="C33" s="3" t="s">
        <v>53</v>
      </c>
      <c r="D33" s="3">
        <v>0</v>
      </c>
      <c r="E33" s="3" t="s">
        <v>93</v>
      </c>
      <c r="F33" s="3">
        <v>0</v>
      </c>
      <c r="G33" s="534">
        <v>0</v>
      </c>
    </row>
    <row r="34" spans="1:7">
      <c r="A34" s="6" t="s">
        <v>94</v>
      </c>
      <c r="B34" s="5" t="s">
        <v>95</v>
      </c>
      <c r="C34" s="3" t="s">
        <v>53</v>
      </c>
      <c r="D34" s="3">
        <v>0</v>
      </c>
      <c r="E34" s="3" t="s">
        <v>93</v>
      </c>
      <c r="F34" s="3">
        <v>0</v>
      </c>
      <c r="G34" s="534">
        <v>0</v>
      </c>
    </row>
    <row r="35" spans="1:7">
      <c r="A35" s="6" t="s">
        <v>96</v>
      </c>
      <c r="B35" s="5" t="s">
        <v>97</v>
      </c>
      <c r="C35" s="3" t="s">
        <v>53</v>
      </c>
      <c r="D35" s="3">
        <v>0</v>
      </c>
      <c r="E35" s="3" t="s">
        <v>93</v>
      </c>
      <c r="F35" s="3">
        <v>0</v>
      </c>
      <c r="G35" s="534">
        <v>0</v>
      </c>
    </row>
    <row r="36" spans="1:7" ht="25.5">
      <c r="A36" s="6" t="s">
        <v>98</v>
      </c>
      <c r="B36" s="5" t="s">
        <v>99</v>
      </c>
      <c r="C36" s="3" t="s">
        <v>53</v>
      </c>
      <c r="D36" s="3">
        <v>0</v>
      </c>
      <c r="E36" s="3" t="s">
        <v>93</v>
      </c>
      <c r="F36" s="3">
        <v>0</v>
      </c>
      <c r="G36" s="534">
        <v>0</v>
      </c>
    </row>
    <row r="37" spans="1:7">
      <c r="A37" s="8" t="s">
        <v>100</v>
      </c>
      <c r="B37" s="15" t="s">
        <v>192</v>
      </c>
      <c r="C37" s="10" t="s">
        <v>53</v>
      </c>
      <c r="D37" s="10">
        <v>0</v>
      </c>
      <c r="E37" s="10" t="s">
        <v>93</v>
      </c>
      <c r="F37" s="10">
        <v>0</v>
      </c>
      <c r="G37" s="535">
        <v>0</v>
      </c>
    </row>
    <row r="38" spans="1:7" ht="25.5">
      <c r="A38" s="16">
        <v>8</v>
      </c>
      <c r="B38" s="17" t="s">
        <v>193</v>
      </c>
      <c r="C38" s="12" t="s">
        <v>53</v>
      </c>
      <c r="D38" s="12">
        <v>0</v>
      </c>
      <c r="E38" s="12">
        <v>0</v>
      </c>
      <c r="F38" s="12">
        <v>280.27999999999997</v>
      </c>
      <c r="G38" s="536">
        <f>G31+G32</f>
        <v>437.76039999999995</v>
      </c>
    </row>
    <row r="39" spans="1:7" ht="25.5">
      <c r="A39" s="16">
        <v>9</v>
      </c>
      <c r="B39" s="17" t="s">
        <v>194</v>
      </c>
      <c r="C39" s="12" t="s">
        <v>104</v>
      </c>
      <c r="D39" s="22">
        <v>0</v>
      </c>
      <c r="E39" s="22">
        <v>0</v>
      </c>
      <c r="F39" s="22">
        <v>41.2</v>
      </c>
      <c r="G39" s="536">
        <f>G38/G40*1000</f>
        <v>136.11275558429926</v>
      </c>
    </row>
    <row r="40" spans="1:7" ht="25.5">
      <c r="A40" s="6">
        <v>10</v>
      </c>
      <c r="B40" s="5" t="s">
        <v>195</v>
      </c>
      <c r="C40" s="3" t="s">
        <v>22</v>
      </c>
      <c r="D40" s="3">
        <v>0</v>
      </c>
      <c r="E40" s="3">
        <v>0</v>
      </c>
      <c r="F40" s="3">
        <v>6802.59</v>
      </c>
      <c r="G40" s="534">
        <f>G41+G42+G43</f>
        <v>3216.16</v>
      </c>
    </row>
    <row r="41" spans="1:7">
      <c r="A41" s="6" t="s">
        <v>164</v>
      </c>
      <c r="B41" s="5" t="s">
        <v>34</v>
      </c>
      <c r="C41" s="3" t="s">
        <v>22</v>
      </c>
      <c r="D41" s="3">
        <v>0</v>
      </c>
      <c r="E41" s="3">
        <v>0</v>
      </c>
      <c r="F41" s="3">
        <v>0</v>
      </c>
      <c r="G41" s="534">
        <v>0</v>
      </c>
    </row>
    <row r="42" spans="1:7">
      <c r="A42" s="6" t="s">
        <v>166</v>
      </c>
      <c r="B42" s="5" t="s">
        <v>36</v>
      </c>
      <c r="C42" s="3" t="s">
        <v>22</v>
      </c>
      <c r="D42" s="3">
        <v>0</v>
      </c>
      <c r="E42" s="3">
        <v>0</v>
      </c>
      <c r="F42" s="3">
        <v>6802.59</v>
      </c>
      <c r="G42" s="3">
        <v>3216.16</v>
      </c>
    </row>
    <row r="43" spans="1:7">
      <c r="A43" s="6" t="s">
        <v>196</v>
      </c>
      <c r="B43" s="5" t="s">
        <v>197</v>
      </c>
      <c r="C43" s="3" t="s">
        <v>22</v>
      </c>
      <c r="D43" s="3">
        <v>0</v>
      </c>
      <c r="E43" s="3">
        <v>0</v>
      </c>
      <c r="F43" s="3">
        <v>0</v>
      </c>
      <c r="G43" s="3">
        <v>0</v>
      </c>
    </row>
    <row r="44" spans="1:7">
      <c r="A44" s="685"/>
      <c r="B44" s="685"/>
      <c r="C44" s="685"/>
      <c r="D44" s="685"/>
      <c r="E44" s="685"/>
      <c r="F44" s="685"/>
      <c r="G44" s="685"/>
    </row>
    <row r="45" spans="1:7" ht="27" customHeight="1">
      <c r="A45" s="694" t="s">
        <v>184</v>
      </c>
      <c r="B45" s="694"/>
      <c r="C45" s="694"/>
      <c r="D45" s="694"/>
      <c r="E45" s="694"/>
      <c r="F45" s="694"/>
      <c r="G45" s="694"/>
    </row>
    <row r="46" spans="1:7">
      <c r="A46" s="558"/>
      <c r="B46" s="558"/>
      <c r="C46" s="558"/>
      <c r="D46" s="558"/>
      <c r="E46" s="558"/>
      <c r="F46" s="558"/>
      <c r="G46" s="558"/>
    </row>
    <row r="47" spans="1:7">
      <c r="A47" s="556"/>
      <c r="B47" s="556"/>
      <c r="C47" s="556"/>
      <c r="D47" s="556"/>
      <c r="E47" s="556"/>
      <c r="F47" s="556"/>
      <c r="G47" s="556"/>
    </row>
    <row r="48" spans="1:7">
      <c r="A48" s="558"/>
      <c r="B48" s="558"/>
      <c r="C48" s="558"/>
      <c r="D48" s="558"/>
      <c r="E48" s="558"/>
      <c r="F48" s="558"/>
      <c r="G48" s="558"/>
    </row>
    <row r="49" spans="1:7" ht="12.75" customHeight="1">
      <c r="A49" s="556" t="s">
        <v>389</v>
      </c>
      <c r="B49" s="556"/>
      <c r="C49" s="556"/>
      <c r="D49" s="556"/>
      <c r="E49" s="556"/>
      <c r="F49" s="556"/>
      <c r="G49" s="556"/>
    </row>
    <row r="50" spans="1:7" s="35" customFormat="1" ht="12.75" customHeight="1">
      <c r="A50" s="558"/>
      <c r="B50" s="558"/>
      <c r="C50" s="558"/>
      <c r="D50" s="558"/>
      <c r="E50" s="558"/>
      <c r="F50" s="558"/>
      <c r="G50" s="558"/>
    </row>
    <row r="51" spans="1:7">
      <c r="A51" s="558"/>
      <c r="B51" s="558"/>
      <c r="C51" s="558"/>
      <c r="D51" s="558"/>
      <c r="E51" s="558"/>
      <c r="F51" s="558"/>
      <c r="G51" s="558"/>
    </row>
    <row r="52" spans="1:7" ht="12.75" customHeight="1">
      <c r="A52" s="565" t="s">
        <v>6</v>
      </c>
      <c r="B52" s="565"/>
      <c r="C52" s="565"/>
      <c r="D52" s="565"/>
      <c r="E52" s="565"/>
      <c r="F52" s="565"/>
      <c r="G52" s="565"/>
    </row>
    <row r="53" spans="1:7">
      <c r="A53" s="683"/>
      <c r="B53" s="683"/>
      <c r="C53" s="683"/>
      <c r="D53" s="683"/>
      <c r="E53" s="683"/>
      <c r="F53" s="683"/>
      <c r="G53" s="683"/>
    </row>
  </sheetData>
  <sheetProtection selectLockedCells="1" selectUnlockedCells="1"/>
  <mergeCells count="20">
    <mergeCell ref="A44:G44"/>
    <mergeCell ref="A45:G45"/>
    <mergeCell ref="A51:G51"/>
    <mergeCell ref="A52:G52"/>
    <mergeCell ref="A53:G53"/>
    <mergeCell ref="A46:G46"/>
    <mergeCell ref="A47:G47"/>
    <mergeCell ref="A48:G48"/>
    <mergeCell ref="A49:G49"/>
    <mergeCell ref="A50:G50"/>
    <mergeCell ref="A6:G6"/>
    <mergeCell ref="A7:A8"/>
    <mergeCell ref="B7:B8"/>
    <mergeCell ref="C7:C8"/>
    <mergeCell ref="D7:G7"/>
    <mergeCell ref="A1:G1"/>
    <mergeCell ref="A2:G2"/>
    <mergeCell ref="A3:G3"/>
    <mergeCell ref="A4:G4"/>
    <mergeCell ref="A5:G5"/>
  </mergeCells>
  <printOptions horizontalCentered="1"/>
  <pageMargins left="0.25" right="0.25" top="0.75" bottom="0.75" header="0.3" footer="0.3"/>
  <pageSetup paperSize="9" scale="74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F0"/>
  </sheetPr>
  <dimension ref="B1:J60"/>
  <sheetViews>
    <sheetView tabSelected="1" zoomScaleSheetLayoutView="100" workbookViewId="0">
      <selection activeCell="E54" sqref="E54"/>
    </sheetView>
  </sheetViews>
  <sheetFormatPr defaultRowHeight="12.75"/>
  <cols>
    <col min="1" max="1" width="1.85546875" style="459" customWidth="1"/>
    <col min="2" max="2" width="7.140625" style="459" customWidth="1"/>
    <col min="3" max="3" width="39.42578125" style="459" customWidth="1"/>
    <col min="4" max="4" width="9.42578125" style="459" customWidth="1"/>
    <col min="5" max="8" width="13.140625" style="459" customWidth="1"/>
    <col min="9" max="16384" width="9.140625" style="459"/>
  </cols>
  <sheetData>
    <row r="1" spans="2:8" ht="15.75" customHeight="1">
      <c r="H1" s="460"/>
    </row>
    <row r="2" spans="2:8" ht="15.75" customHeight="1">
      <c r="B2" s="706" t="s">
        <v>756</v>
      </c>
      <c r="C2" s="707"/>
      <c r="D2" s="707"/>
      <c r="E2" s="707"/>
      <c r="F2" s="707"/>
      <c r="G2" s="707"/>
      <c r="H2" s="707"/>
    </row>
    <row r="3" spans="2:8" ht="48.75" customHeight="1">
      <c r="B3" s="708" t="s">
        <v>749</v>
      </c>
      <c r="C3" s="709"/>
      <c r="D3" s="709"/>
      <c r="E3" s="709"/>
      <c r="F3" s="709"/>
      <c r="G3" s="709"/>
      <c r="H3" s="709"/>
    </row>
    <row r="4" spans="2:8" ht="12.75" customHeight="1">
      <c r="B4" s="461"/>
      <c r="C4" s="461"/>
      <c r="D4" s="461"/>
      <c r="E4" s="461"/>
      <c r="F4" s="461"/>
      <c r="G4" s="461"/>
      <c r="H4" s="461" t="s">
        <v>204</v>
      </c>
    </row>
    <row r="5" spans="2:8" ht="5.45" customHeight="1" thickBot="1">
      <c r="B5" s="698"/>
      <c r="C5" s="698"/>
      <c r="D5" s="698"/>
      <c r="E5" s="698"/>
      <c r="F5" s="698"/>
      <c r="G5" s="698"/>
      <c r="H5" s="698"/>
    </row>
    <row r="6" spans="2:8" ht="14.25" customHeight="1" thickBot="1">
      <c r="B6" s="699" t="s">
        <v>7</v>
      </c>
      <c r="C6" s="699" t="s">
        <v>205</v>
      </c>
      <c r="D6" s="699" t="s">
        <v>0</v>
      </c>
      <c r="E6" s="699" t="s">
        <v>206</v>
      </c>
      <c r="F6" s="710" t="s">
        <v>207</v>
      </c>
      <c r="G6" s="711"/>
      <c r="H6" s="712"/>
    </row>
    <row r="7" spans="2:8" ht="36" customHeight="1" thickBot="1">
      <c r="B7" s="699"/>
      <c r="C7" s="699"/>
      <c r="D7" s="699"/>
      <c r="E7" s="699"/>
      <c r="F7" s="462" t="s">
        <v>34</v>
      </c>
      <c r="G7" s="462" t="s">
        <v>208</v>
      </c>
      <c r="H7" s="463" t="s">
        <v>203</v>
      </c>
    </row>
    <row r="8" spans="2:8" ht="13.15" customHeight="1" thickBot="1">
      <c r="B8" s="464">
        <v>1</v>
      </c>
      <c r="C8" s="465">
        <v>2</v>
      </c>
      <c r="D8" s="465">
        <v>3</v>
      </c>
      <c r="E8" s="465">
        <v>4</v>
      </c>
      <c r="F8" s="465">
        <v>5</v>
      </c>
      <c r="G8" s="465">
        <v>6</v>
      </c>
      <c r="H8" s="466">
        <v>7</v>
      </c>
    </row>
    <row r="9" spans="2:8" ht="26.25" thickBot="1">
      <c r="B9" s="467">
        <v>1</v>
      </c>
      <c r="C9" s="468" t="s">
        <v>209</v>
      </c>
      <c r="D9" s="469" t="s">
        <v>22</v>
      </c>
      <c r="E9" s="470">
        <v>3216.16</v>
      </c>
      <c r="F9" s="471">
        <v>0</v>
      </c>
      <c r="G9" s="471">
        <f>E9</f>
        <v>3216.16</v>
      </c>
      <c r="H9" s="471">
        <v>0</v>
      </c>
    </row>
    <row r="10" spans="2:8" ht="26.25" thickBot="1">
      <c r="B10" s="467">
        <v>2</v>
      </c>
      <c r="C10" s="468" t="s">
        <v>200</v>
      </c>
      <c r="D10" s="469" t="s">
        <v>32</v>
      </c>
      <c r="E10" s="472">
        <v>3.2583000000000002</v>
      </c>
      <c r="F10" s="471">
        <v>0</v>
      </c>
      <c r="G10" s="471">
        <f>E10</f>
        <v>3.2583000000000002</v>
      </c>
      <c r="H10" s="471">
        <v>0</v>
      </c>
    </row>
    <row r="11" spans="2:8" ht="15.75" customHeight="1" thickBot="1">
      <c r="B11" s="713" t="s">
        <v>199</v>
      </c>
      <c r="C11" s="714"/>
      <c r="D11" s="714"/>
      <c r="E11" s="714"/>
      <c r="F11" s="714"/>
      <c r="G11" s="714"/>
      <c r="H11" s="715"/>
    </row>
    <row r="12" spans="2:8" ht="27" customHeight="1" thickBot="1">
      <c r="B12" s="467">
        <v>3</v>
      </c>
      <c r="C12" s="468" t="s">
        <v>210</v>
      </c>
      <c r="D12" s="469" t="s">
        <v>53</v>
      </c>
      <c r="E12" s="470">
        <f>E13+E17</f>
        <v>5851.6064821333339</v>
      </c>
      <c r="F12" s="471">
        <v>0</v>
      </c>
      <c r="G12" s="473">
        <f>E12</f>
        <v>5851.6064821333339</v>
      </c>
      <c r="H12" s="471">
        <v>0</v>
      </c>
    </row>
    <row r="13" spans="2:8" ht="15" customHeight="1" thickBot="1">
      <c r="B13" s="474" t="s">
        <v>2</v>
      </c>
      <c r="C13" s="468" t="s">
        <v>211</v>
      </c>
      <c r="D13" s="469" t="s">
        <v>53</v>
      </c>
      <c r="E13" s="470">
        <f>E14+E15+E16</f>
        <v>2632.27</v>
      </c>
      <c r="F13" s="471">
        <v>0</v>
      </c>
      <c r="G13" s="473">
        <f>E13</f>
        <v>2632.27</v>
      </c>
      <c r="H13" s="471">
        <v>0</v>
      </c>
    </row>
    <row r="14" spans="2:8" ht="28.5" customHeight="1" thickBot="1">
      <c r="B14" s="474" t="s">
        <v>212</v>
      </c>
      <c r="C14" s="468" t="s">
        <v>213</v>
      </c>
      <c r="D14" s="469" t="s">
        <v>53</v>
      </c>
      <c r="E14" s="470">
        <f>2880.94-423.25</f>
        <v>2457.69</v>
      </c>
      <c r="F14" s="471">
        <v>0</v>
      </c>
      <c r="G14" s="473">
        <f>E14</f>
        <v>2457.69</v>
      </c>
      <c r="H14" s="471">
        <v>0</v>
      </c>
    </row>
    <row r="15" spans="2:8" ht="26.25" thickBot="1">
      <c r="B15" s="474" t="s">
        <v>214</v>
      </c>
      <c r="C15" s="468" t="s">
        <v>215</v>
      </c>
      <c r="D15" s="469" t="s">
        <v>53</v>
      </c>
      <c r="E15" s="470">
        <v>174.58</v>
      </c>
      <c r="F15" s="471">
        <v>0</v>
      </c>
      <c r="G15" s="473">
        <f>E15</f>
        <v>174.58</v>
      </c>
      <c r="H15" s="471">
        <v>0</v>
      </c>
    </row>
    <row r="16" spans="2:8" ht="38.25" customHeight="1" thickBot="1">
      <c r="B16" s="474" t="s">
        <v>216</v>
      </c>
      <c r="C16" s="468" t="s">
        <v>217</v>
      </c>
      <c r="D16" s="469" t="s">
        <v>53</v>
      </c>
      <c r="E16" s="470">
        <f t="shared" ref="E16:E51" si="0">F16+G16+H16</f>
        <v>0</v>
      </c>
      <c r="F16" s="471">
        <v>0</v>
      </c>
      <c r="G16" s="473">
        <v>0</v>
      </c>
      <c r="H16" s="471">
        <v>0</v>
      </c>
    </row>
    <row r="17" spans="2:10" ht="39.75" customHeight="1" thickBot="1">
      <c r="B17" s="474" t="s">
        <v>85</v>
      </c>
      <c r="C17" s="468" t="s">
        <v>218</v>
      </c>
      <c r="D17" s="469" t="s">
        <v>53</v>
      </c>
      <c r="E17" s="470">
        <f>J17</f>
        <v>3219.3364821333339</v>
      </c>
      <c r="F17" s="471">
        <v>0</v>
      </c>
      <c r="G17" s="473">
        <f>E17</f>
        <v>3219.3364821333339</v>
      </c>
      <c r="H17" s="471">
        <v>0</v>
      </c>
      <c r="J17" s="475">
        <f>'3_Т на виробництво'!H39-'3_Т на виробництво'!H15-'3_Т на виробництво'!H16</f>
        <v>3219.3364821333339</v>
      </c>
    </row>
    <row r="18" spans="2:10" ht="26.25" thickBot="1">
      <c r="B18" s="467">
        <v>4</v>
      </c>
      <c r="C18" s="468" t="s">
        <v>219</v>
      </c>
      <c r="D18" s="469" t="s">
        <v>53</v>
      </c>
      <c r="E18" s="470">
        <f t="shared" si="0"/>
        <v>0</v>
      </c>
      <c r="F18" s="471">
        <v>0</v>
      </c>
      <c r="G18" s="473">
        <v>0</v>
      </c>
      <c r="H18" s="471">
        <v>0</v>
      </c>
    </row>
    <row r="19" spans="2:10" ht="13.5" thickBot="1">
      <c r="B19" s="474" t="s">
        <v>28</v>
      </c>
      <c r="C19" s="468" t="s">
        <v>220</v>
      </c>
      <c r="D19" s="469" t="s">
        <v>53</v>
      </c>
      <c r="E19" s="470">
        <f t="shared" si="0"/>
        <v>0</v>
      </c>
      <c r="F19" s="471">
        <v>0</v>
      </c>
      <c r="G19" s="473">
        <v>0</v>
      </c>
      <c r="H19" s="471">
        <v>0</v>
      </c>
    </row>
    <row r="20" spans="2:10" ht="13.5" thickBot="1">
      <c r="B20" s="474" t="s">
        <v>198</v>
      </c>
      <c r="C20" s="468" t="s">
        <v>221</v>
      </c>
      <c r="D20" s="469" t="s">
        <v>53</v>
      </c>
      <c r="E20" s="470">
        <f t="shared" si="0"/>
        <v>0</v>
      </c>
      <c r="F20" s="471">
        <v>0</v>
      </c>
      <c r="G20" s="473">
        <v>0</v>
      </c>
      <c r="H20" s="471">
        <v>0</v>
      </c>
    </row>
    <row r="21" spans="2:10" ht="26.25" thickBot="1">
      <c r="B21" s="474">
        <v>5</v>
      </c>
      <c r="C21" s="468" t="s">
        <v>222</v>
      </c>
      <c r="D21" s="469" t="s">
        <v>104</v>
      </c>
      <c r="E21" s="470">
        <f>E22</f>
        <v>818.4511964578877</v>
      </c>
      <c r="F21" s="471">
        <v>0</v>
      </c>
      <c r="G21" s="473">
        <f>E21</f>
        <v>818.4511964578877</v>
      </c>
      <c r="H21" s="471">
        <v>0</v>
      </c>
    </row>
    <row r="22" spans="2:10" ht="19.5" customHeight="1" thickBot="1">
      <c r="B22" s="476" t="s">
        <v>29</v>
      </c>
      <c r="C22" s="477" t="s">
        <v>223</v>
      </c>
      <c r="D22" s="478" t="s">
        <v>104</v>
      </c>
      <c r="E22" s="537">
        <f>E13/E9*1000</f>
        <v>818.4511964578877</v>
      </c>
      <c r="F22" s="480">
        <v>0</v>
      </c>
      <c r="G22" s="481">
        <f>E22</f>
        <v>818.4511964578877</v>
      </c>
      <c r="H22" s="480">
        <v>0</v>
      </c>
    </row>
    <row r="23" spans="2:10" ht="16.5" customHeight="1" thickBot="1">
      <c r="B23" s="482" t="s">
        <v>30</v>
      </c>
      <c r="C23" s="483" t="s">
        <v>224</v>
      </c>
      <c r="D23" s="484" t="s">
        <v>104</v>
      </c>
      <c r="E23" s="485">
        <f t="shared" si="0"/>
        <v>0</v>
      </c>
      <c r="F23" s="486">
        <v>0</v>
      </c>
      <c r="G23" s="487">
        <v>0</v>
      </c>
      <c r="H23" s="488">
        <v>0</v>
      </c>
    </row>
    <row r="24" spans="2:10" ht="13.5" thickBot="1">
      <c r="B24" s="482" t="s">
        <v>31</v>
      </c>
      <c r="C24" s="483" t="s">
        <v>225</v>
      </c>
      <c r="D24" s="484" t="s">
        <v>3</v>
      </c>
      <c r="E24" s="485">
        <f t="shared" si="0"/>
        <v>0</v>
      </c>
      <c r="F24" s="486">
        <v>0</v>
      </c>
      <c r="G24" s="487">
        <v>0</v>
      </c>
      <c r="H24" s="488">
        <v>0</v>
      </c>
    </row>
    <row r="25" spans="2:10" ht="51" customHeight="1" thickBot="1">
      <c r="B25" s="489">
        <v>6</v>
      </c>
      <c r="C25" s="483" t="s">
        <v>226</v>
      </c>
      <c r="D25" s="469" t="s">
        <v>229</v>
      </c>
      <c r="E25" s="485">
        <f>E26</f>
        <v>82336.813730404756</v>
      </c>
      <c r="F25" s="486">
        <v>0</v>
      </c>
      <c r="G25" s="487">
        <f>E25</f>
        <v>82336.813730404756</v>
      </c>
      <c r="H25" s="488">
        <v>0</v>
      </c>
    </row>
    <row r="26" spans="2:10" ht="26.25" thickBot="1">
      <c r="B26" s="474" t="s">
        <v>33</v>
      </c>
      <c r="C26" s="468" t="s">
        <v>227</v>
      </c>
      <c r="D26" s="469" t="s">
        <v>229</v>
      </c>
      <c r="E26" s="470">
        <f>E17/E10/12*1000</f>
        <v>82336.813730404756</v>
      </c>
      <c r="F26" s="471">
        <v>0</v>
      </c>
      <c r="G26" s="490">
        <f>E26</f>
        <v>82336.813730404756</v>
      </c>
      <c r="H26" s="471">
        <v>0</v>
      </c>
    </row>
    <row r="27" spans="2:10" ht="28.5" customHeight="1" thickBot="1">
      <c r="B27" s="491" t="s">
        <v>35</v>
      </c>
      <c r="C27" s="477" t="s">
        <v>228</v>
      </c>
      <c r="D27" s="469" t="s">
        <v>229</v>
      </c>
      <c r="E27" s="492">
        <f t="shared" si="0"/>
        <v>0</v>
      </c>
      <c r="F27" s="480">
        <v>0</v>
      </c>
      <c r="G27" s="481">
        <v>0</v>
      </c>
      <c r="H27" s="480">
        <v>0</v>
      </c>
    </row>
    <row r="28" spans="2:10" ht="13.5" thickBot="1">
      <c r="B28" s="482" t="s">
        <v>37</v>
      </c>
      <c r="C28" s="483" t="s">
        <v>225</v>
      </c>
      <c r="D28" s="484" t="s">
        <v>3</v>
      </c>
      <c r="E28" s="485">
        <f t="shared" si="0"/>
        <v>0</v>
      </c>
      <c r="F28" s="486">
        <v>0</v>
      </c>
      <c r="G28" s="487">
        <v>0</v>
      </c>
      <c r="H28" s="488">
        <v>0</v>
      </c>
    </row>
    <row r="29" spans="2:10" ht="18.75" customHeight="1" thickBot="1">
      <c r="B29" s="700" t="s">
        <v>201</v>
      </c>
      <c r="C29" s="716"/>
      <c r="D29" s="716"/>
      <c r="E29" s="716"/>
      <c r="F29" s="716"/>
      <c r="G29" s="716"/>
      <c r="H29" s="717"/>
    </row>
    <row r="30" spans="2:10" ht="51.75" thickBot="1">
      <c r="B30" s="493">
        <v>7</v>
      </c>
      <c r="C30" s="494" t="s">
        <v>230</v>
      </c>
      <c r="D30" s="484" t="s">
        <v>32</v>
      </c>
      <c r="E30" s="495">
        <v>3.2583000000000002</v>
      </c>
      <c r="F30" s="486">
        <v>0</v>
      </c>
      <c r="G30" s="496">
        <f>E30</f>
        <v>3.2583000000000002</v>
      </c>
      <c r="H30" s="497">
        <v>0</v>
      </c>
    </row>
    <row r="31" spans="2:10" ht="44.25" customHeight="1" thickBot="1">
      <c r="B31" s="498">
        <v>8</v>
      </c>
      <c r="C31" s="499" t="s">
        <v>231</v>
      </c>
      <c r="D31" s="469" t="s">
        <v>53</v>
      </c>
      <c r="E31" s="470">
        <f>'4_Т на транспортування'!H36</f>
        <v>599.6099999999999</v>
      </c>
      <c r="F31" s="471">
        <v>0</v>
      </c>
      <c r="G31" s="500">
        <f>E31</f>
        <v>599.6099999999999</v>
      </c>
      <c r="H31" s="501">
        <v>0</v>
      </c>
    </row>
    <row r="32" spans="2:10" ht="31.5" customHeight="1" thickBot="1">
      <c r="B32" s="498">
        <v>9</v>
      </c>
      <c r="C32" s="499" t="s">
        <v>232</v>
      </c>
      <c r="D32" s="469" t="s">
        <v>53</v>
      </c>
      <c r="E32" s="470">
        <f t="shared" si="0"/>
        <v>0</v>
      </c>
      <c r="F32" s="471">
        <v>0</v>
      </c>
      <c r="G32" s="502">
        <v>0</v>
      </c>
      <c r="H32" s="501">
        <v>0</v>
      </c>
    </row>
    <row r="33" spans="2:8" ht="39.75" customHeight="1" thickBot="1">
      <c r="B33" s="498">
        <v>10</v>
      </c>
      <c r="C33" s="499" t="s">
        <v>233</v>
      </c>
      <c r="D33" s="469" t="s">
        <v>229</v>
      </c>
      <c r="E33" s="470">
        <f>E34+E35+E36</f>
        <v>15335.451002056283</v>
      </c>
      <c r="F33" s="471">
        <v>0</v>
      </c>
      <c r="G33" s="502">
        <f>E33</f>
        <v>15335.451002056283</v>
      </c>
      <c r="H33" s="501">
        <v>0</v>
      </c>
    </row>
    <row r="34" spans="2:8" ht="26.25" thickBot="1">
      <c r="B34" s="503" t="s">
        <v>164</v>
      </c>
      <c r="C34" s="499" t="s">
        <v>234</v>
      </c>
      <c r="D34" s="469" t="s">
        <v>229</v>
      </c>
      <c r="E34" s="470">
        <f>E31/E30/12*1000</f>
        <v>15335.451002056283</v>
      </c>
      <c r="F34" s="471">
        <v>0</v>
      </c>
      <c r="G34" s="502">
        <f>E34</f>
        <v>15335.451002056283</v>
      </c>
      <c r="H34" s="501">
        <v>0</v>
      </c>
    </row>
    <row r="35" spans="2:8" ht="26.25" thickBot="1">
      <c r="B35" s="503" t="s">
        <v>166</v>
      </c>
      <c r="C35" s="499" t="s">
        <v>235</v>
      </c>
      <c r="D35" s="469" t="s">
        <v>229</v>
      </c>
      <c r="E35" s="470">
        <f t="shared" si="0"/>
        <v>0</v>
      </c>
      <c r="F35" s="471">
        <v>0</v>
      </c>
      <c r="G35" s="502">
        <v>0</v>
      </c>
      <c r="H35" s="501">
        <v>0</v>
      </c>
    </row>
    <row r="36" spans="2:8" ht="13.5" thickBot="1">
      <c r="B36" s="503" t="s">
        <v>196</v>
      </c>
      <c r="C36" s="499" t="s">
        <v>225</v>
      </c>
      <c r="D36" s="469" t="s">
        <v>3</v>
      </c>
      <c r="E36" s="470">
        <f t="shared" si="0"/>
        <v>0</v>
      </c>
      <c r="F36" s="471">
        <v>0</v>
      </c>
      <c r="G36" s="502">
        <v>0</v>
      </c>
      <c r="H36" s="504">
        <v>0</v>
      </c>
    </row>
    <row r="37" spans="2:8" ht="17.25" customHeight="1" thickBot="1">
      <c r="B37" s="700" t="s">
        <v>202</v>
      </c>
      <c r="C37" s="701"/>
      <c r="D37" s="701"/>
      <c r="E37" s="701"/>
      <c r="F37" s="701"/>
      <c r="G37" s="701"/>
      <c r="H37" s="702"/>
    </row>
    <row r="38" spans="2:8" ht="40.5" customHeight="1" thickBot="1">
      <c r="B38" s="493">
        <v>11</v>
      </c>
      <c r="C38" s="494" t="s">
        <v>236</v>
      </c>
      <c r="D38" s="484" t="s">
        <v>53</v>
      </c>
      <c r="E38" s="485">
        <f>'5_Т на постачання'!G38</f>
        <v>437.76039999999995</v>
      </c>
      <c r="F38" s="484">
        <v>0</v>
      </c>
      <c r="G38" s="505">
        <f>E38</f>
        <v>437.76039999999995</v>
      </c>
      <c r="H38" s="497">
        <v>0</v>
      </c>
    </row>
    <row r="39" spans="2:8" ht="26.25" thickBot="1">
      <c r="B39" s="498">
        <v>12</v>
      </c>
      <c r="C39" s="499" t="s">
        <v>237</v>
      </c>
      <c r="D39" s="469" t="s">
        <v>53</v>
      </c>
      <c r="E39" s="470">
        <f t="shared" si="0"/>
        <v>0</v>
      </c>
      <c r="F39" s="469">
        <v>0</v>
      </c>
      <c r="G39" s="500">
        <v>0</v>
      </c>
      <c r="H39" s="501">
        <v>0</v>
      </c>
    </row>
    <row r="40" spans="2:8" ht="39" thickBot="1">
      <c r="B40" s="498">
        <v>13</v>
      </c>
      <c r="C40" s="499" t="s">
        <v>238</v>
      </c>
      <c r="D40" s="469" t="s">
        <v>229</v>
      </c>
      <c r="E40" s="470">
        <f>E41</f>
        <v>11196.032695986658</v>
      </c>
      <c r="F40" s="469">
        <v>0</v>
      </c>
      <c r="G40" s="502">
        <f>E40</f>
        <v>11196.032695986658</v>
      </c>
      <c r="H40" s="501">
        <v>0</v>
      </c>
    </row>
    <row r="41" spans="2:8" ht="26.25" thickBot="1">
      <c r="B41" s="503" t="s">
        <v>239</v>
      </c>
      <c r="C41" s="499" t="s">
        <v>240</v>
      </c>
      <c r="D41" s="469" t="s">
        <v>229</v>
      </c>
      <c r="E41" s="470">
        <f>E38/E10/12*1000</f>
        <v>11196.032695986658</v>
      </c>
      <c r="F41" s="469">
        <v>0</v>
      </c>
      <c r="G41" s="502">
        <f>E41</f>
        <v>11196.032695986658</v>
      </c>
      <c r="H41" s="501">
        <v>0</v>
      </c>
    </row>
    <row r="42" spans="2:8" ht="26.25" thickBot="1">
      <c r="B42" s="503" t="s">
        <v>241</v>
      </c>
      <c r="C42" s="499" t="s">
        <v>242</v>
      </c>
      <c r="D42" s="469" t="s">
        <v>229</v>
      </c>
      <c r="E42" s="470">
        <f t="shared" si="0"/>
        <v>0</v>
      </c>
      <c r="F42" s="469">
        <v>0</v>
      </c>
      <c r="G42" s="502">
        <v>0</v>
      </c>
      <c r="H42" s="501">
        <v>0</v>
      </c>
    </row>
    <row r="43" spans="2:8" ht="13.5" thickBot="1">
      <c r="B43" s="503" t="s">
        <v>243</v>
      </c>
      <c r="C43" s="499" t="s">
        <v>225</v>
      </c>
      <c r="D43" s="469" t="s">
        <v>3</v>
      </c>
      <c r="E43" s="470">
        <f t="shared" si="0"/>
        <v>0</v>
      </c>
      <c r="F43" s="469">
        <v>0</v>
      </c>
      <c r="G43" s="502">
        <v>0</v>
      </c>
      <c r="H43" s="504">
        <v>0</v>
      </c>
    </row>
    <row r="44" spans="2:8" ht="17.25" customHeight="1" thickBot="1">
      <c r="B44" s="703" t="s">
        <v>244</v>
      </c>
      <c r="C44" s="704"/>
      <c r="D44" s="704"/>
      <c r="E44" s="704"/>
      <c r="F44" s="704"/>
      <c r="G44" s="704"/>
      <c r="H44" s="702"/>
    </row>
    <row r="45" spans="2:8" ht="26.25" thickBot="1">
      <c r="B45" s="493">
        <v>14</v>
      </c>
      <c r="C45" s="506" t="s">
        <v>245</v>
      </c>
      <c r="D45" s="484" t="s">
        <v>104</v>
      </c>
      <c r="E45" s="485">
        <f>E46</f>
        <v>818.4511964578877</v>
      </c>
      <c r="F45" s="484">
        <v>0</v>
      </c>
      <c r="G45" s="505">
        <f>E45</f>
        <v>818.4511964578877</v>
      </c>
      <c r="H45" s="497">
        <v>0</v>
      </c>
    </row>
    <row r="46" spans="2:8" ht="13.5" thickBot="1">
      <c r="B46" s="507" t="s">
        <v>246</v>
      </c>
      <c r="C46" s="506" t="s">
        <v>247</v>
      </c>
      <c r="D46" s="484" t="s">
        <v>104</v>
      </c>
      <c r="E46" s="485">
        <f>E21</f>
        <v>818.4511964578877</v>
      </c>
      <c r="F46" s="484">
        <v>0</v>
      </c>
      <c r="G46" s="505">
        <f>E46</f>
        <v>818.4511964578877</v>
      </c>
      <c r="H46" s="497">
        <v>0</v>
      </c>
    </row>
    <row r="47" spans="2:8" ht="13.5" thickBot="1">
      <c r="B47" s="507" t="s">
        <v>248</v>
      </c>
      <c r="C47" s="506" t="s">
        <v>249</v>
      </c>
      <c r="D47" s="484" t="s">
        <v>104</v>
      </c>
      <c r="E47" s="485">
        <f t="shared" si="0"/>
        <v>0</v>
      </c>
      <c r="F47" s="484">
        <v>0</v>
      </c>
      <c r="G47" s="505">
        <v>0</v>
      </c>
      <c r="H47" s="497">
        <v>0</v>
      </c>
    </row>
    <row r="48" spans="2:8" ht="13.5" thickBot="1">
      <c r="B48" s="507" t="s">
        <v>250</v>
      </c>
      <c r="C48" s="506" t="s">
        <v>225</v>
      </c>
      <c r="D48" s="484" t="s">
        <v>3</v>
      </c>
      <c r="E48" s="485">
        <f t="shared" si="0"/>
        <v>0</v>
      </c>
      <c r="F48" s="484">
        <v>0</v>
      </c>
      <c r="G48" s="505">
        <v>0</v>
      </c>
      <c r="H48" s="508">
        <v>0</v>
      </c>
    </row>
    <row r="49" spans="2:9" ht="64.5" thickBot="1">
      <c r="B49" s="503">
        <v>15</v>
      </c>
      <c r="C49" s="509" t="s">
        <v>251</v>
      </c>
      <c r="D49" s="469" t="s">
        <v>229</v>
      </c>
      <c r="E49" s="470">
        <f>E25+E33+E40-0.43</f>
        <v>108867.8674284477</v>
      </c>
      <c r="F49" s="469">
        <v>0</v>
      </c>
      <c r="G49" s="500">
        <f>E49</f>
        <v>108867.8674284477</v>
      </c>
      <c r="H49" s="510">
        <v>0</v>
      </c>
      <c r="I49" s="518"/>
    </row>
    <row r="50" spans="2:9" ht="27.6" customHeight="1" thickBot="1">
      <c r="B50" s="503" t="s">
        <v>252</v>
      </c>
      <c r="C50" s="509" t="s">
        <v>253</v>
      </c>
      <c r="D50" s="469" t="s">
        <v>229</v>
      </c>
      <c r="E50" s="470">
        <f>E26+E34+E40-0.43</f>
        <v>108867.8674284477</v>
      </c>
      <c r="F50" s="469">
        <v>0</v>
      </c>
      <c r="G50" s="502">
        <f>E50</f>
        <v>108867.8674284477</v>
      </c>
      <c r="H50" s="501">
        <v>0</v>
      </c>
    </row>
    <row r="51" spans="2:9" ht="25.5" customHeight="1" thickBot="1">
      <c r="B51" s="511" t="s">
        <v>254</v>
      </c>
      <c r="C51" s="512" t="s">
        <v>255</v>
      </c>
      <c r="D51" s="469" t="s">
        <v>229</v>
      </c>
      <c r="E51" s="470">
        <f t="shared" si="0"/>
        <v>0</v>
      </c>
      <c r="F51" s="513">
        <v>0</v>
      </c>
      <c r="G51" s="502">
        <v>0</v>
      </c>
      <c r="H51" s="501">
        <v>0</v>
      </c>
    </row>
    <row r="52" spans="2:9" ht="24" customHeight="1" thickBot="1">
      <c r="B52" s="503" t="s">
        <v>256</v>
      </c>
      <c r="C52" s="509" t="s">
        <v>225</v>
      </c>
      <c r="D52" s="469" t="s">
        <v>3</v>
      </c>
      <c r="E52" s="514">
        <v>0</v>
      </c>
      <c r="F52" s="469">
        <v>0</v>
      </c>
      <c r="G52" s="502">
        <v>0</v>
      </c>
      <c r="H52" s="504">
        <v>0</v>
      </c>
    </row>
    <row r="53" spans="2:9" ht="15" customHeight="1">
      <c r="B53" s="515"/>
      <c r="C53" s="516"/>
      <c r="D53" s="517"/>
      <c r="E53" s="517"/>
      <c r="F53" s="517"/>
      <c r="G53" s="517"/>
      <c r="H53" s="517"/>
    </row>
    <row r="54" spans="2:9" ht="15" customHeight="1">
      <c r="B54" s="515"/>
      <c r="C54" s="516"/>
      <c r="D54" s="517"/>
      <c r="E54" s="517"/>
      <c r="F54" s="517"/>
      <c r="G54" s="517"/>
      <c r="H54" s="517"/>
    </row>
    <row r="55" spans="2:9" ht="15" customHeight="1">
      <c r="B55" s="515"/>
      <c r="C55" s="516"/>
      <c r="D55" s="517"/>
      <c r="E55" s="517"/>
      <c r="F55" s="517"/>
      <c r="G55" s="517"/>
      <c r="H55" s="517"/>
    </row>
    <row r="56" spans="2:9" ht="26.25" customHeight="1">
      <c r="B56" s="705" t="s">
        <v>388</v>
      </c>
      <c r="C56" s="705"/>
      <c r="D56" s="705"/>
      <c r="E56" s="705"/>
      <c r="F56" s="705"/>
      <c r="G56" s="705"/>
      <c r="H56" s="705"/>
    </row>
    <row r="57" spans="2:9" ht="3.6" customHeight="1">
      <c r="B57" s="696"/>
      <c r="C57" s="696"/>
      <c r="D57" s="696"/>
      <c r="E57" s="696"/>
      <c r="F57" s="696"/>
      <c r="G57" s="696"/>
      <c r="H57" s="696"/>
    </row>
    <row r="58" spans="2:9" ht="12.75" customHeight="1">
      <c r="B58" s="696"/>
      <c r="C58" s="696"/>
      <c r="D58" s="696"/>
      <c r="E58" s="696"/>
      <c r="F58" s="696"/>
      <c r="G58" s="696"/>
      <c r="H58" s="696"/>
    </row>
    <row r="59" spans="2:9" ht="8.4499999999999993" customHeight="1">
      <c r="B59" s="696"/>
      <c r="C59" s="696"/>
      <c r="D59" s="696"/>
      <c r="E59" s="696"/>
      <c r="F59" s="696"/>
      <c r="G59" s="696"/>
      <c r="H59" s="696"/>
    </row>
    <row r="60" spans="2:9" ht="12.75" customHeight="1">
      <c r="B60" s="697" t="s">
        <v>6</v>
      </c>
      <c r="C60" s="697"/>
      <c r="D60" s="697"/>
      <c r="E60" s="697"/>
      <c r="F60" s="697"/>
      <c r="G60" s="697"/>
      <c r="H60" s="697"/>
    </row>
  </sheetData>
  <sheetProtection selectLockedCells="1" selectUnlockedCells="1"/>
  <mergeCells count="17">
    <mergeCell ref="B2:H2"/>
    <mergeCell ref="B3:H3"/>
    <mergeCell ref="F6:H6"/>
    <mergeCell ref="B11:H11"/>
    <mergeCell ref="B29:H29"/>
    <mergeCell ref="B59:H59"/>
    <mergeCell ref="B60:H60"/>
    <mergeCell ref="B57:H57"/>
    <mergeCell ref="B5:H5"/>
    <mergeCell ref="B6:B7"/>
    <mergeCell ref="C6:C7"/>
    <mergeCell ref="D6:D7"/>
    <mergeCell ref="E6:E7"/>
    <mergeCell ref="B37:H37"/>
    <mergeCell ref="B44:H44"/>
    <mergeCell ref="B56:H56"/>
    <mergeCell ref="B58:H58"/>
  </mergeCells>
  <printOptions horizontalCentered="1"/>
  <pageMargins left="0.39370078740157483" right="0.19685039370078741" top="0.39370078740157483" bottom="0.39370078740157483" header="0" footer="0"/>
  <pageSetup paperSize="9" scale="85" firstPageNumber="0" fitToHeight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F0"/>
  </sheetPr>
  <dimension ref="B4:J67"/>
  <sheetViews>
    <sheetView topLeftCell="A16" zoomScaleSheetLayoutView="100" workbookViewId="0">
      <selection activeCell="J24" sqref="J24"/>
    </sheetView>
  </sheetViews>
  <sheetFormatPr defaultRowHeight="12.75"/>
  <cols>
    <col min="1" max="1" width="1.85546875" style="459" customWidth="1"/>
    <col min="2" max="2" width="7.140625" style="459" customWidth="1"/>
    <col min="3" max="3" width="39.42578125" style="459" customWidth="1"/>
    <col min="4" max="4" width="9.42578125" style="459" customWidth="1"/>
    <col min="5" max="8" width="13.140625" style="459" customWidth="1"/>
    <col min="9" max="16384" width="9.140625" style="459"/>
  </cols>
  <sheetData>
    <row r="4" spans="2:8">
      <c r="B4" s="459" t="s">
        <v>750</v>
      </c>
    </row>
    <row r="7" spans="2:8" ht="15.75" customHeight="1">
      <c r="C7" s="519"/>
    </row>
    <row r="8" spans="2:8" ht="15.75" customHeight="1">
      <c r="H8" s="460"/>
    </row>
    <row r="9" spans="2:8" ht="15.75" customHeight="1">
      <c r="B9" s="706" t="s">
        <v>40</v>
      </c>
      <c r="C9" s="707"/>
      <c r="D9" s="707"/>
      <c r="E9" s="707"/>
      <c r="F9" s="707"/>
      <c r="G9" s="707"/>
      <c r="H9" s="707"/>
    </row>
    <row r="10" spans="2:8" ht="48.75" customHeight="1">
      <c r="B10" s="708" t="s">
        <v>749</v>
      </c>
      <c r="C10" s="709"/>
      <c r="D10" s="709"/>
      <c r="E10" s="709"/>
      <c r="F10" s="709"/>
      <c r="G10" s="709"/>
      <c r="H10" s="709"/>
    </row>
    <row r="11" spans="2:8" ht="12.75" customHeight="1">
      <c r="B11" s="461"/>
      <c r="C11" s="461"/>
      <c r="D11" s="461"/>
      <c r="E11" s="461"/>
      <c r="F11" s="461"/>
      <c r="G11" s="461"/>
      <c r="H11" s="461" t="s">
        <v>204</v>
      </c>
    </row>
    <row r="12" spans="2:8" ht="5.45" customHeight="1" thickBot="1">
      <c r="B12" s="698"/>
      <c r="C12" s="698"/>
      <c r="D12" s="698"/>
      <c r="E12" s="698"/>
      <c r="F12" s="698"/>
      <c r="G12" s="698"/>
      <c r="H12" s="698"/>
    </row>
    <row r="13" spans="2:8" ht="14.25" customHeight="1" thickBot="1">
      <c r="B13" s="699" t="s">
        <v>7</v>
      </c>
      <c r="C13" s="699" t="s">
        <v>205</v>
      </c>
      <c r="D13" s="699" t="s">
        <v>0</v>
      </c>
      <c r="E13" s="699" t="s">
        <v>206</v>
      </c>
      <c r="F13" s="710" t="s">
        <v>207</v>
      </c>
      <c r="G13" s="711"/>
      <c r="H13" s="712"/>
    </row>
    <row r="14" spans="2:8" ht="36" customHeight="1" thickBot="1">
      <c r="B14" s="699"/>
      <c r="C14" s="699"/>
      <c r="D14" s="699"/>
      <c r="E14" s="699"/>
      <c r="F14" s="462" t="s">
        <v>34</v>
      </c>
      <c r="G14" s="462" t="s">
        <v>208</v>
      </c>
      <c r="H14" s="463" t="s">
        <v>203</v>
      </c>
    </row>
    <row r="15" spans="2:8" ht="13.15" customHeight="1" thickBot="1">
      <c r="B15" s="464">
        <v>1</v>
      </c>
      <c r="C15" s="465">
        <v>2</v>
      </c>
      <c r="D15" s="465">
        <v>3</v>
      </c>
      <c r="E15" s="465">
        <v>4</v>
      </c>
      <c r="F15" s="465">
        <v>5</v>
      </c>
      <c r="G15" s="465">
        <v>6</v>
      </c>
      <c r="H15" s="466">
        <v>7</v>
      </c>
    </row>
    <row r="16" spans="2:8" ht="26.25" thickBot="1">
      <c r="B16" s="467">
        <v>1</v>
      </c>
      <c r="C16" s="468" t="s">
        <v>209</v>
      </c>
      <c r="D16" s="469" t="s">
        <v>22</v>
      </c>
      <c r="E16" s="470">
        <v>3216.16</v>
      </c>
      <c r="F16" s="471">
        <v>0</v>
      </c>
      <c r="G16" s="471">
        <f>E16</f>
        <v>3216.16</v>
      </c>
      <c r="H16" s="471">
        <v>0</v>
      </c>
    </row>
    <row r="17" spans="2:10" ht="26.25" thickBot="1">
      <c r="B17" s="467">
        <v>2</v>
      </c>
      <c r="C17" s="468" t="s">
        <v>200</v>
      </c>
      <c r="D17" s="469" t="s">
        <v>32</v>
      </c>
      <c r="E17" s="472">
        <v>3.2583000000000002</v>
      </c>
      <c r="F17" s="471">
        <v>0</v>
      </c>
      <c r="G17" s="471">
        <f>E17</f>
        <v>3.2583000000000002</v>
      </c>
      <c r="H17" s="471">
        <v>0</v>
      </c>
    </row>
    <row r="18" spans="2:10" ht="15.75" customHeight="1" thickBot="1">
      <c r="B18" s="713" t="s">
        <v>199</v>
      </c>
      <c r="C18" s="714"/>
      <c r="D18" s="714"/>
      <c r="E18" s="714"/>
      <c r="F18" s="714"/>
      <c r="G18" s="714"/>
      <c r="H18" s="715"/>
    </row>
    <row r="19" spans="2:10" ht="27" customHeight="1" thickBot="1">
      <c r="B19" s="467">
        <v>3</v>
      </c>
      <c r="C19" s="468" t="s">
        <v>210</v>
      </c>
      <c r="D19" s="469" t="s">
        <v>53</v>
      </c>
      <c r="E19" s="470">
        <f>E20+E24</f>
        <v>6413.7754821333338</v>
      </c>
      <c r="F19" s="471">
        <v>0</v>
      </c>
      <c r="G19" s="473">
        <f>E19</f>
        <v>6413.7754821333338</v>
      </c>
      <c r="H19" s="471">
        <v>0</v>
      </c>
    </row>
    <row r="20" spans="2:10" ht="15" customHeight="1" thickBot="1">
      <c r="B20" s="474" t="s">
        <v>2</v>
      </c>
      <c r="C20" s="468" t="s">
        <v>211</v>
      </c>
      <c r="D20" s="469" t="s">
        <v>53</v>
      </c>
      <c r="E20" s="470">
        <f>E21+E22+E23</f>
        <v>3194.4389999999999</v>
      </c>
      <c r="F20" s="471">
        <v>0</v>
      </c>
      <c r="G20" s="473">
        <f>E20</f>
        <v>3194.4389999999999</v>
      </c>
      <c r="H20" s="471">
        <v>0</v>
      </c>
    </row>
    <row r="21" spans="2:10" ht="28.5" customHeight="1" thickBot="1">
      <c r="B21" s="474" t="s">
        <v>212</v>
      </c>
      <c r="C21" s="468" t="s">
        <v>213</v>
      </c>
      <c r="D21" s="469" t="s">
        <v>53</v>
      </c>
      <c r="E21" s="470">
        <v>3024.799</v>
      </c>
      <c r="F21" s="471">
        <v>0</v>
      </c>
      <c r="G21" s="473">
        <f>E21</f>
        <v>3024.799</v>
      </c>
      <c r="H21" s="471">
        <v>0</v>
      </c>
    </row>
    <row r="22" spans="2:10" ht="26.25" thickBot="1">
      <c r="B22" s="474" t="s">
        <v>214</v>
      </c>
      <c r="C22" s="468" t="s">
        <v>215</v>
      </c>
      <c r="D22" s="469" t="s">
        <v>53</v>
      </c>
      <c r="E22" s="470">
        <v>169.64</v>
      </c>
      <c r="F22" s="471">
        <v>0</v>
      </c>
      <c r="G22" s="473">
        <f>E22</f>
        <v>169.64</v>
      </c>
      <c r="H22" s="471">
        <v>0</v>
      </c>
    </row>
    <row r="23" spans="2:10" ht="38.25" customHeight="1" thickBot="1">
      <c r="B23" s="474" t="s">
        <v>216</v>
      </c>
      <c r="C23" s="468" t="s">
        <v>217</v>
      </c>
      <c r="D23" s="469" t="s">
        <v>53</v>
      </c>
      <c r="E23" s="470">
        <f t="shared" ref="E23:E58" si="0">F23+G23+H23</f>
        <v>0</v>
      </c>
      <c r="F23" s="471">
        <v>0</v>
      </c>
      <c r="G23" s="473">
        <v>0</v>
      </c>
      <c r="H23" s="471">
        <v>0</v>
      </c>
    </row>
    <row r="24" spans="2:10" ht="39.75" customHeight="1" thickBot="1">
      <c r="B24" s="474" t="s">
        <v>85</v>
      </c>
      <c r="C24" s="468" t="s">
        <v>218</v>
      </c>
      <c r="D24" s="469" t="s">
        <v>53</v>
      </c>
      <c r="E24" s="470">
        <f>J24</f>
        <v>3219.3364821333339</v>
      </c>
      <c r="F24" s="471">
        <v>0</v>
      </c>
      <c r="G24" s="473">
        <f>E24</f>
        <v>3219.3364821333339</v>
      </c>
      <c r="H24" s="471">
        <v>0</v>
      </c>
      <c r="J24" s="475">
        <f>'3_Т на виробництво'!H39-'3_Т на виробництво'!H15-'3_Т на виробництво'!H16</f>
        <v>3219.3364821333339</v>
      </c>
    </row>
    <row r="25" spans="2:10" ht="26.25" thickBot="1">
      <c r="B25" s="467">
        <v>4</v>
      </c>
      <c r="C25" s="468" t="s">
        <v>219</v>
      </c>
      <c r="D25" s="469" t="s">
        <v>53</v>
      </c>
      <c r="E25" s="470">
        <f t="shared" si="0"/>
        <v>0</v>
      </c>
      <c r="F25" s="471">
        <v>0</v>
      </c>
      <c r="G25" s="473">
        <v>0</v>
      </c>
      <c r="H25" s="471">
        <v>0</v>
      </c>
    </row>
    <row r="26" spans="2:10" ht="13.5" thickBot="1">
      <c r="B26" s="474" t="s">
        <v>28</v>
      </c>
      <c r="C26" s="468" t="s">
        <v>220</v>
      </c>
      <c r="D26" s="469" t="s">
        <v>53</v>
      </c>
      <c r="E26" s="470">
        <f t="shared" si="0"/>
        <v>0</v>
      </c>
      <c r="F26" s="471">
        <v>0</v>
      </c>
      <c r="G26" s="473">
        <v>0</v>
      </c>
      <c r="H26" s="471">
        <v>0</v>
      </c>
    </row>
    <row r="27" spans="2:10" ht="13.5" thickBot="1">
      <c r="B27" s="474" t="s">
        <v>198</v>
      </c>
      <c r="C27" s="468" t="s">
        <v>221</v>
      </c>
      <c r="D27" s="469" t="s">
        <v>53</v>
      </c>
      <c r="E27" s="470">
        <f t="shared" si="0"/>
        <v>0</v>
      </c>
      <c r="F27" s="471">
        <v>0</v>
      </c>
      <c r="G27" s="473">
        <v>0</v>
      </c>
      <c r="H27" s="471">
        <v>0</v>
      </c>
    </row>
    <row r="28" spans="2:10" ht="26.25" thickBot="1">
      <c r="B28" s="474">
        <v>5</v>
      </c>
      <c r="C28" s="468" t="s">
        <v>222</v>
      </c>
      <c r="D28" s="469" t="s">
        <v>104</v>
      </c>
      <c r="E28" s="470">
        <f>E29</f>
        <v>993.24629371673041</v>
      </c>
      <c r="F28" s="471">
        <v>0</v>
      </c>
      <c r="G28" s="473">
        <f>E28</f>
        <v>993.24629371673041</v>
      </c>
      <c r="H28" s="471">
        <v>0</v>
      </c>
    </row>
    <row r="29" spans="2:10" ht="19.5" customHeight="1" thickBot="1">
      <c r="B29" s="476" t="s">
        <v>29</v>
      </c>
      <c r="C29" s="477" t="s">
        <v>223</v>
      </c>
      <c r="D29" s="478" t="s">
        <v>104</v>
      </c>
      <c r="E29" s="479">
        <f>E20/E16*1000</f>
        <v>993.24629371673041</v>
      </c>
      <c r="F29" s="480">
        <v>0</v>
      </c>
      <c r="G29" s="481">
        <f>E29</f>
        <v>993.24629371673041</v>
      </c>
      <c r="H29" s="480">
        <v>0</v>
      </c>
    </row>
    <row r="30" spans="2:10" ht="16.5" customHeight="1" thickBot="1">
      <c r="B30" s="482" t="s">
        <v>30</v>
      </c>
      <c r="C30" s="483" t="s">
        <v>224</v>
      </c>
      <c r="D30" s="484" t="s">
        <v>104</v>
      </c>
      <c r="E30" s="485">
        <f t="shared" si="0"/>
        <v>0</v>
      </c>
      <c r="F30" s="486">
        <v>0</v>
      </c>
      <c r="G30" s="487">
        <v>0</v>
      </c>
      <c r="H30" s="488">
        <v>0</v>
      </c>
    </row>
    <row r="31" spans="2:10" ht="13.5" thickBot="1">
      <c r="B31" s="482" t="s">
        <v>31</v>
      </c>
      <c r="C31" s="483" t="s">
        <v>225</v>
      </c>
      <c r="D31" s="484" t="s">
        <v>3</v>
      </c>
      <c r="E31" s="485">
        <f t="shared" si="0"/>
        <v>0</v>
      </c>
      <c r="F31" s="486">
        <v>0</v>
      </c>
      <c r="G31" s="487">
        <v>0</v>
      </c>
      <c r="H31" s="488">
        <v>0</v>
      </c>
    </row>
    <row r="32" spans="2:10" ht="51" customHeight="1" thickBot="1">
      <c r="B32" s="489">
        <v>6</v>
      </c>
      <c r="C32" s="483" t="s">
        <v>226</v>
      </c>
      <c r="D32" s="469" t="s">
        <v>229</v>
      </c>
      <c r="E32" s="485">
        <f>E33</f>
        <v>82336.813730404756</v>
      </c>
      <c r="F32" s="486">
        <v>0</v>
      </c>
      <c r="G32" s="487">
        <f>E32</f>
        <v>82336.813730404756</v>
      </c>
      <c r="H32" s="488">
        <v>0</v>
      </c>
    </row>
    <row r="33" spans="2:8" ht="26.25" thickBot="1">
      <c r="B33" s="474" t="s">
        <v>33</v>
      </c>
      <c r="C33" s="468" t="s">
        <v>227</v>
      </c>
      <c r="D33" s="469" t="s">
        <v>229</v>
      </c>
      <c r="E33" s="470">
        <f>E24/E17/12*1000</f>
        <v>82336.813730404756</v>
      </c>
      <c r="F33" s="471">
        <v>0</v>
      </c>
      <c r="G33" s="490">
        <f>E33</f>
        <v>82336.813730404756</v>
      </c>
      <c r="H33" s="471">
        <v>0</v>
      </c>
    </row>
    <row r="34" spans="2:8" ht="28.5" customHeight="1" thickBot="1">
      <c r="B34" s="491" t="s">
        <v>35</v>
      </c>
      <c r="C34" s="477" t="s">
        <v>228</v>
      </c>
      <c r="D34" s="469" t="s">
        <v>229</v>
      </c>
      <c r="E34" s="492">
        <f t="shared" si="0"/>
        <v>0</v>
      </c>
      <c r="F34" s="480">
        <v>0</v>
      </c>
      <c r="G34" s="481">
        <v>0</v>
      </c>
      <c r="H34" s="480">
        <v>0</v>
      </c>
    </row>
    <row r="35" spans="2:8" ht="13.5" thickBot="1">
      <c r="B35" s="482" t="s">
        <v>37</v>
      </c>
      <c r="C35" s="483" t="s">
        <v>225</v>
      </c>
      <c r="D35" s="484" t="s">
        <v>3</v>
      </c>
      <c r="E35" s="485">
        <f t="shared" si="0"/>
        <v>0</v>
      </c>
      <c r="F35" s="486">
        <v>0</v>
      </c>
      <c r="G35" s="487">
        <v>0</v>
      </c>
      <c r="H35" s="488">
        <v>0</v>
      </c>
    </row>
    <row r="36" spans="2:8" ht="18.75" customHeight="1" thickBot="1">
      <c r="B36" s="700" t="s">
        <v>201</v>
      </c>
      <c r="C36" s="716"/>
      <c r="D36" s="716"/>
      <c r="E36" s="716"/>
      <c r="F36" s="716"/>
      <c r="G36" s="716"/>
      <c r="H36" s="717"/>
    </row>
    <row r="37" spans="2:8" ht="51.75" thickBot="1">
      <c r="B37" s="493">
        <v>7</v>
      </c>
      <c r="C37" s="494" t="s">
        <v>230</v>
      </c>
      <c r="D37" s="484" t="s">
        <v>32</v>
      </c>
      <c r="E37" s="495">
        <v>3.2583000000000002</v>
      </c>
      <c r="F37" s="486">
        <v>0</v>
      </c>
      <c r="G37" s="496">
        <f>E37</f>
        <v>3.2583000000000002</v>
      </c>
      <c r="H37" s="497">
        <v>0</v>
      </c>
    </row>
    <row r="38" spans="2:8" ht="44.25" customHeight="1" thickBot="1">
      <c r="B38" s="498">
        <v>8</v>
      </c>
      <c r="C38" s="499" t="s">
        <v>231</v>
      </c>
      <c r="D38" s="469" t="s">
        <v>53</v>
      </c>
      <c r="E38" s="470">
        <f>'4_Т на транспортування'!H36</f>
        <v>599.6099999999999</v>
      </c>
      <c r="F38" s="471">
        <v>0</v>
      </c>
      <c r="G38" s="500">
        <f>E38</f>
        <v>599.6099999999999</v>
      </c>
      <c r="H38" s="501">
        <v>0</v>
      </c>
    </row>
    <row r="39" spans="2:8" ht="31.5" customHeight="1" thickBot="1">
      <c r="B39" s="498">
        <v>9</v>
      </c>
      <c r="C39" s="499" t="s">
        <v>232</v>
      </c>
      <c r="D39" s="469" t="s">
        <v>53</v>
      </c>
      <c r="E39" s="470">
        <f t="shared" si="0"/>
        <v>0</v>
      </c>
      <c r="F39" s="471">
        <v>0</v>
      </c>
      <c r="G39" s="502">
        <v>0</v>
      </c>
      <c r="H39" s="501">
        <v>0</v>
      </c>
    </row>
    <row r="40" spans="2:8" ht="39.75" customHeight="1" thickBot="1">
      <c r="B40" s="498">
        <v>10</v>
      </c>
      <c r="C40" s="499" t="s">
        <v>233</v>
      </c>
      <c r="D40" s="469" t="s">
        <v>229</v>
      </c>
      <c r="E40" s="470">
        <f>E41+E42+E43</f>
        <v>15335.451002056283</v>
      </c>
      <c r="F40" s="471">
        <v>0</v>
      </c>
      <c r="G40" s="502">
        <f>E40</f>
        <v>15335.451002056283</v>
      </c>
      <c r="H40" s="501">
        <v>0</v>
      </c>
    </row>
    <row r="41" spans="2:8" ht="26.25" thickBot="1">
      <c r="B41" s="503" t="s">
        <v>164</v>
      </c>
      <c r="C41" s="499" t="s">
        <v>234</v>
      </c>
      <c r="D41" s="469" t="s">
        <v>229</v>
      </c>
      <c r="E41" s="470">
        <f>E38/E37/12*1000</f>
        <v>15335.451002056283</v>
      </c>
      <c r="F41" s="471">
        <v>0</v>
      </c>
      <c r="G41" s="502">
        <f>E41</f>
        <v>15335.451002056283</v>
      </c>
      <c r="H41" s="501">
        <v>0</v>
      </c>
    </row>
    <row r="42" spans="2:8" ht="26.25" thickBot="1">
      <c r="B42" s="503" t="s">
        <v>166</v>
      </c>
      <c r="C42" s="499" t="s">
        <v>235</v>
      </c>
      <c r="D42" s="469" t="s">
        <v>229</v>
      </c>
      <c r="E42" s="470">
        <f t="shared" si="0"/>
        <v>0</v>
      </c>
      <c r="F42" s="471">
        <v>0</v>
      </c>
      <c r="G42" s="502">
        <v>0</v>
      </c>
      <c r="H42" s="501">
        <v>0</v>
      </c>
    </row>
    <row r="43" spans="2:8" ht="13.5" thickBot="1">
      <c r="B43" s="503" t="s">
        <v>196</v>
      </c>
      <c r="C43" s="499" t="s">
        <v>225</v>
      </c>
      <c r="D43" s="469" t="s">
        <v>3</v>
      </c>
      <c r="E43" s="470">
        <f t="shared" si="0"/>
        <v>0</v>
      </c>
      <c r="F43" s="471">
        <v>0</v>
      </c>
      <c r="G43" s="502">
        <v>0</v>
      </c>
      <c r="H43" s="504">
        <v>0</v>
      </c>
    </row>
    <row r="44" spans="2:8" ht="17.25" customHeight="1" thickBot="1">
      <c r="B44" s="700" t="s">
        <v>202</v>
      </c>
      <c r="C44" s="701"/>
      <c r="D44" s="701"/>
      <c r="E44" s="701"/>
      <c r="F44" s="701"/>
      <c r="G44" s="701"/>
      <c r="H44" s="702"/>
    </row>
    <row r="45" spans="2:8" ht="40.5" customHeight="1" thickBot="1">
      <c r="B45" s="493">
        <v>11</v>
      </c>
      <c r="C45" s="494" t="s">
        <v>236</v>
      </c>
      <c r="D45" s="484" t="s">
        <v>53</v>
      </c>
      <c r="E45" s="485">
        <f>'5_Т на постачання'!G38</f>
        <v>437.76039999999995</v>
      </c>
      <c r="F45" s="484">
        <v>0</v>
      </c>
      <c r="G45" s="505">
        <f>E45</f>
        <v>437.76039999999995</v>
      </c>
      <c r="H45" s="497">
        <v>0</v>
      </c>
    </row>
    <row r="46" spans="2:8" ht="26.25" thickBot="1">
      <c r="B46" s="498">
        <v>12</v>
      </c>
      <c r="C46" s="499" t="s">
        <v>237</v>
      </c>
      <c r="D46" s="469" t="s">
        <v>53</v>
      </c>
      <c r="E46" s="470">
        <f t="shared" si="0"/>
        <v>0</v>
      </c>
      <c r="F46" s="469">
        <v>0</v>
      </c>
      <c r="G46" s="500">
        <v>0</v>
      </c>
      <c r="H46" s="501">
        <v>0</v>
      </c>
    </row>
    <row r="47" spans="2:8" ht="39" thickBot="1">
      <c r="B47" s="498">
        <v>13</v>
      </c>
      <c r="C47" s="499" t="s">
        <v>238</v>
      </c>
      <c r="D47" s="469" t="s">
        <v>229</v>
      </c>
      <c r="E47" s="470">
        <f>E48</f>
        <v>11196.032695986658</v>
      </c>
      <c r="F47" s="469">
        <v>0</v>
      </c>
      <c r="G47" s="502">
        <f>E47</f>
        <v>11196.032695986658</v>
      </c>
      <c r="H47" s="501">
        <v>0</v>
      </c>
    </row>
    <row r="48" spans="2:8" ht="26.25" thickBot="1">
      <c r="B48" s="503" t="s">
        <v>239</v>
      </c>
      <c r="C48" s="499" t="s">
        <v>240</v>
      </c>
      <c r="D48" s="469" t="s">
        <v>229</v>
      </c>
      <c r="E48" s="470">
        <f>E45/E17/12*1000</f>
        <v>11196.032695986658</v>
      </c>
      <c r="F48" s="469">
        <v>0</v>
      </c>
      <c r="G48" s="502">
        <f>E48</f>
        <v>11196.032695986658</v>
      </c>
      <c r="H48" s="501">
        <v>0</v>
      </c>
    </row>
    <row r="49" spans="2:9" ht="26.25" thickBot="1">
      <c r="B49" s="503" t="s">
        <v>241</v>
      </c>
      <c r="C49" s="499" t="s">
        <v>242</v>
      </c>
      <c r="D49" s="469" t="s">
        <v>229</v>
      </c>
      <c r="E49" s="470">
        <f t="shared" si="0"/>
        <v>0</v>
      </c>
      <c r="F49" s="469">
        <v>0</v>
      </c>
      <c r="G49" s="502">
        <v>0</v>
      </c>
      <c r="H49" s="501">
        <v>0</v>
      </c>
    </row>
    <row r="50" spans="2:9" ht="13.5" thickBot="1">
      <c r="B50" s="503" t="s">
        <v>243</v>
      </c>
      <c r="C50" s="499" t="s">
        <v>225</v>
      </c>
      <c r="D50" s="469" t="s">
        <v>3</v>
      </c>
      <c r="E50" s="470">
        <f t="shared" si="0"/>
        <v>0</v>
      </c>
      <c r="F50" s="469">
        <v>0</v>
      </c>
      <c r="G50" s="502">
        <v>0</v>
      </c>
      <c r="H50" s="504">
        <v>0</v>
      </c>
    </row>
    <row r="51" spans="2:9" ht="17.25" customHeight="1" thickBot="1">
      <c r="B51" s="703" t="s">
        <v>244</v>
      </c>
      <c r="C51" s="704"/>
      <c r="D51" s="704"/>
      <c r="E51" s="704"/>
      <c r="F51" s="704"/>
      <c r="G51" s="704"/>
      <c r="H51" s="702"/>
    </row>
    <row r="52" spans="2:9" ht="26.25" thickBot="1">
      <c r="B52" s="493">
        <v>14</v>
      </c>
      <c r="C52" s="506" t="s">
        <v>245</v>
      </c>
      <c r="D52" s="484" t="s">
        <v>104</v>
      </c>
      <c r="E52" s="485">
        <f>E53</f>
        <v>993.24629371673041</v>
      </c>
      <c r="F52" s="484">
        <v>0</v>
      </c>
      <c r="G52" s="505">
        <f>E52</f>
        <v>993.24629371673041</v>
      </c>
      <c r="H52" s="497">
        <v>0</v>
      </c>
    </row>
    <row r="53" spans="2:9" ht="13.5" thickBot="1">
      <c r="B53" s="507" t="s">
        <v>246</v>
      </c>
      <c r="C53" s="506" t="s">
        <v>247</v>
      </c>
      <c r="D53" s="484" t="s">
        <v>104</v>
      </c>
      <c r="E53" s="485">
        <f>E28</f>
        <v>993.24629371673041</v>
      </c>
      <c r="F53" s="484">
        <v>0</v>
      </c>
      <c r="G53" s="505">
        <f>E53</f>
        <v>993.24629371673041</v>
      </c>
      <c r="H53" s="497">
        <v>0</v>
      </c>
    </row>
    <row r="54" spans="2:9" ht="13.5" thickBot="1">
      <c r="B54" s="507" t="s">
        <v>248</v>
      </c>
      <c r="C54" s="506" t="s">
        <v>249</v>
      </c>
      <c r="D54" s="484" t="s">
        <v>104</v>
      </c>
      <c r="E54" s="485">
        <f t="shared" si="0"/>
        <v>0</v>
      </c>
      <c r="F54" s="484">
        <v>0</v>
      </c>
      <c r="G54" s="505">
        <v>0</v>
      </c>
      <c r="H54" s="497">
        <v>0</v>
      </c>
    </row>
    <row r="55" spans="2:9" ht="13.5" thickBot="1">
      <c r="B55" s="507" t="s">
        <v>250</v>
      </c>
      <c r="C55" s="506" t="s">
        <v>225</v>
      </c>
      <c r="D55" s="484" t="s">
        <v>3</v>
      </c>
      <c r="E55" s="485">
        <f t="shared" si="0"/>
        <v>0</v>
      </c>
      <c r="F55" s="484">
        <v>0</v>
      </c>
      <c r="G55" s="505">
        <v>0</v>
      </c>
      <c r="H55" s="508">
        <v>0</v>
      </c>
    </row>
    <row r="56" spans="2:9" ht="64.5" thickBot="1">
      <c r="B56" s="503">
        <v>15</v>
      </c>
      <c r="C56" s="509" t="s">
        <v>251</v>
      </c>
      <c r="D56" s="469" t="s">
        <v>229</v>
      </c>
      <c r="E56" s="470">
        <f>E32+E40+E47</f>
        <v>108868.29742844769</v>
      </c>
      <c r="F56" s="469">
        <v>0</v>
      </c>
      <c r="G56" s="500">
        <f>E56</f>
        <v>108868.29742844769</v>
      </c>
      <c r="H56" s="510">
        <v>0</v>
      </c>
      <c r="I56" s="518"/>
    </row>
    <row r="57" spans="2:9" ht="27.6" customHeight="1" thickBot="1">
      <c r="B57" s="503" t="s">
        <v>252</v>
      </c>
      <c r="C57" s="509" t="s">
        <v>253</v>
      </c>
      <c r="D57" s="469" t="s">
        <v>229</v>
      </c>
      <c r="E57" s="470">
        <f>E33+E41+E47</f>
        <v>108868.29742844769</v>
      </c>
      <c r="F57" s="469">
        <v>0</v>
      </c>
      <c r="G57" s="502">
        <f>E57</f>
        <v>108868.29742844769</v>
      </c>
      <c r="H57" s="501">
        <v>0</v>
      </c>
    </row>
    <row r="58" spans="2:9" ht="25.5" customHeight="1" thickBot="1">
      <c r="B58" s="511" t="s">
        <v>254</v>
      </c>
      <c r="C58" s="512" t="s">
        <v>255</v>
      </c>
      <c r="D58" s="469" t="s">
        <v>229</v>
      </c>
      <c r="E58" s="470">
        <f t="shared" si="0"/>
        <v>0</v>
      </c>
      <c r="F58" s="513">
        <v>0</v>
      </c>
      <c r="G58" s="502">
        <v>0</v>
      </c>
      <c r="H58" s="501">
        <v>0</v>
      </c>
    </row>
    <row r="59" spans="2:9" ht="24" customHeight="1" thickBot="1">
      <c r="B59" s="503" t="s">
        <v>256</v>
      </c>
      <c r="C59" s="509" t="s">
        <v>225</v>
      </c>
      <c r="D59" s="469" t="s">
        <v>3</v>
      </c>
      <c r="E59" s="514">
        <v>0</v>
      </c>
      <c r="F59" s="469">
        <v>0</v>
      </c>
      <c r="G59" s="502">
        <v>0</v>
      </c>
      <c r="H59" s="504">
        <v>0</v>
      </c>
    </row>
    <row r="60" spans="2:9" ht="15" customHeight="1">
      <c r="B60" s="515"/>
      <c r="C60" s="516"/>
      <c r="D60" s="517"/>
      <c r="E60" s="517"/>
      <c r="F60" s="517"/>
      <c r="G60" s="517"/>
      <c r="H60" s="517"/>
    </row>
    <row r="61" spans="2:9" ht="15" customHeight="1">
      <c r="B61" s="515"/>
      <c r="C61" s="516"/>
      <c r="D61" s="517"/>
      <c r="E61" s="517"/>
      <c r="F61" s="517"/>
      <c r="G61" s="517"/>
      <c r="H61" s="517"/>
    </row>
    <row r="62" spans="2:9" ht="15" customHeight="1">
      <c r="B62" s="515"/>
      <c r="C62" s="516"/>
      <c r="D62" s="517"/>
      <c r="E62" s="517"/>
      <c r="F62" s="517"/>
      <c r="G62" s="517"/>
      <c r="H62" s="517"/>
    </row>
    <row r="63" spans="2:9" ht="26.25" customHeight="1">
      <c r="B63" s="718" t="s">
        <v>388</v>
      </c>
      <c r="C63" s="718"/>
      <c r="D63" s="718"/>
      <c r="E63" s="718"/>
      <c r="F63" s="718"/>
      <c r="G63" s="718"/>
      <c r="H63" s="718"/>
    </row>
    <row r="64" spans="2:9" ht="3.6" customHeight="1">
      <c r="B64" s="696"/>
      <c r="C64" s="696"/>
      <c r="D64" s="696"/>
      <c r="E64" s="696"/>
      <c r="F64" s="696"/>
      <c r="G64" s="696"/>
      <c r="H64" s="696"/>
    </row>
    <row r="65" spans="2:8" ht="12.75" customHeight="1">
      <c r="B65" s="696"/>
      <c r="C65" s="696"/>
      <c r="D65" s="696"/>
      <c r="E65" s="696"/>
      <c r="F65" s="696"/>
      <c r="G65" s="696"/>
      <c r="H65" s="696"/>
    </row>
    <row r="66" spans="2:8" ht="8.4499999999999993" customHeight="1">
      <c r="B66" s="696"/>
      <c r="C66" s="696"/>
      <c r="D66" s="696"/>
      <c r="E66" s="696"/>
      <c r="F66" s="696"/>
      <c r="G66" s="696"/>
      <c r="H66" s="696"/>
    </row>
    <row r="67" spans="2:8" ht="12.75" customHeight="1">
      <c r="B67" s="697" t="s">
        <v>6</v>
      </c>
      <c r="C67" s="697"/>
      <c r="D67" s="697"/>
      <c r="E67" s="697"/>
      <c r="F67" s="697"/>
      <c r="G67" s="697"/>
      <c r="H67" s="697"/>
    </row>
  </sheetData>
  <sheetProtection selectLockedCells="1" selectUnlockedCells="1"/>
  <mergeCells count="17">
    <mergeCell ref="B65:H65"/>
    <mergeCell ref="B66:H66"/>
    <mergeCell ref="B67:H67"/>
    <mergeCell ref="B18:H18"/>
    <mergeCell ref="B36:H36"/>
    <mergeCell ref="B44:H44"/>
    <mergeCell ref="B51:H51"/>
    <mergeCell ref="B63:H63"/>
    <mergeCell ref="B64:H64"/>
    <mergeCell ref="B9:H9"/>
    <mergeCell ref="B10:H10"/>
    <mergeCell ref="B12:H12"/>
    <mergeCell ref="B13:B14"/>
    <mergeCell ref="C13:C14"/>
    <mergeCell ref="D13:D14"/>
    <mergeCell ref="E13:E14"/>
    <mergeCell ref="F13:H13"/>
  </mergeCells>
  <printOptions horizontalCentered="1"/>
  <pageMargins left="0.39370078740157483" right="0.19685039370078741" top="0.19685039370078741" bottom="0.19685039370078741" header="0" footer="0"/>
  <pageSetup paperSize="9" scale="85" firstPageNumber="0" fitToHeight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27"/>
  <sheetViews>
    <sheetView workbookViewId="0">
      <selection activeCell="J24" sqref="J24"/>
    </sheetView>
  </sheetViews>
  <sheetFormatPr defaultRowHeight="12.75"/>
  <cols>
    <col min="1" max="1" width="5.42578125" style="38" customWidth="1"/>
    <col min="2" max="2" width="5.5703125" style="38" customWidth="1"/>
    <col min="3" max="3" width="14.28515625" style="38" customWidth="1"/>
    <col min="4" max="4" width="23.28515625" style="38" customWidth="1"/>
    <col min="5" max="5" width="31.7109375" style="38" customWidth="1"/>
    <col min="6" max="6" width="11.5703125" style="38" customWidth="1"/>
    <col min="7" max="7" width="12" style="38" customWidth="1"/>
    <col min="8" max="8" width="12.5703125" style="38" customWidth="1"/>
    <col min="9" max="9" width="14.28515625" style="38" customWidth="1"/>
    <col min="10" max="11" width="9.140625" style="38"/>
    <col min="12" max="17" width="9.140625" style="38" hidden="1" customWidth="1"/>
    <col min="18" max="16384" width="9.140625" style="38"/>
  </cols>
  <sheetData>
    <row r="1" spans="2:17">
      <c r="I1" s="38" t="s">
        <v>692</v>
      </c>
    </row>
    <row r="3" spans="2:17" ht="15.75">
      <c r="D3" s="721" t="s">
        <v>667</v>
      </c>
      <c r="E3" s="721"/>
      <c r="F3" s="721"/>
      <c r="G3" s="721"/>
      <c r="H3" s="721"/>
    </row>
    <row r="5" spans="2:17" ht="67.5" customHeight="1">
      <c r="B5" s="385" t="s">
        <v>669</v>
      </c>
      <c r="C5" s="386" t="s">
        <v>670</v>
      </c>
      <c r="D5" s="385" t="s">
        <v>671</v>
      </c>
      <c r="E5" s="387" t="s">
        <v>672</v>
      </c>
      <c r="F5" s="387" t="s">
        <v>673</v>
      </c>
      <c r="G5" s="387" t="s">
        <v>687</v>
      </c>
      <c r="H5" s="385" t="s">
        <v>674</v>
      </c>
      <c r="I5" s="387" t="s">
        <v>688</v>
      </c>
      <c r="J5" s="387" t="s">
        <v>689</v>
      </c>
    </row>
    <row r="6" spans="2:17" ht="45">
      <c r="B6" s="388">
        <v>1</v>
      </c>
      <c r="C6" s="388" t="s">
        <v>681</v>
      </c>
      <c r="D6" s="389" t="s">
        <v>675</v>
      </c>
      <c r="E6" s="388" t="s">
        <v>677</v>
      </c>
      <c r="F6" s="388" t="s">
        <v>676</v>
      </c>
      <c r="G6" s="388">
        <v>472.3</v>
      </c>
      <c r="H6" s="388">
        <f>G6*24</f>
        <v>11335.2</v>
      </c>
      <c r="I6" s="360"/>
      <c r="J6" s="360"/>
    </row>
    <row r="7" spans="2:17" ht="30">
      <c r="B7" s="388">
        <v>2</v>
      </c>
      <c r="C7" s="388" t="s">
        <v>682</v>
      </c>
      <c r="D7" s="389" t="s">
        <v>678</v>
      </c>
      <c r="E7" s="388" t="s">
        <v>679</v>
      </c>
      <c r="F7" s="388" t="s">
        <v>680</v>
      </c>
      <c r="G7" s="388">
        <v>472.3</v>
      </c>
      <c r="H7" s="362">
        <f>G7*10</f>
        <v>4723</v>
      </c>
      <c r="I7" s="360"/>
      <c r="J7" s="360"/>
    </row>
    <row r="8" spans="2:17" ht="30">
      <c r="B8" s="388">
        <v>3</v>
      </c>
      <c r="C8" s="388" t="s">
        <v>683</v>
      </c>
      <c r="D8" s="389" t="s">
        <v>684</v>
      </c>
      <c r="E8" s="388" t="s">
        <v>685</v>
      </c>
      <c r="F8" s="388" t="s">
        <v>686</v>
      </c>
      <c r="G8" s="388">
        <v>472.3</v>
      </c>
      <c r="H8" s="362">
        <f>6*G8</f>
        <v>2833.8</v>
      </c>
      <c r="I8" s="360"/>
      <c r="J8" s="360"/>
    </row>
    <row r="9" spans="2:17" ht="14.25">
      <c r="B9" s="390"/>
      <c r="C9" s="719" t="s">
        <v>311</v>
      </c>
      <c r="D9" s="720"/>
      <c r="E9" s="390"/>
      <c r="F9" s="390"/>
      <c r="G9" s="390"/>
      <c r="H9" s="391">
        <f>H6+H7+H8</f>
        <v>18892</v>
      </c>
      <c r="I9" s="360"/>
      <c r="J9" s="360"/>
    </row>
    <row r="10" spans="2:17" ht="15">
      <c r="B10" s="388"/>
      <c r="C10" s="388" t="s">
        <v>683</v>
      </c>
      <c r="D10" s="388"/>
      <c r="E10" s="388"/>
      <c r="F10" s="388" t="s">
        <v>690</v>
      </c>
      <c r="G10" s="388"/>
      <c r="H10" s="388"/>
      <c r="I10" s="362">
        <f>6*1000</f>
        <v>6000</v>
      </c>
      <c r="J10" s="362">
        <f>I10</f>
        <v>6000</v>
      </c>
    </row>
    <row r="11" spans="2:17" ht="15.75">
      <c r="B11" s="360"/>
      <c r="C11" s="719" t="s">
        <v>311</v>
      </c>
      <c r="D11" s="720"/>
      <c r="E11" s="360"/>
      <c r="F11" s="360"/>
      <c r="G11" s="360"/>
      <c r="H11" s="394">
        <f>I10</f>
        <v>6000</v>
      </c>
      <c r="I11" s="360"/>
      <c r="J11" s="360"/>
    </row>
    <row r="12" spans="2:17" ht="14.25">
      <c r="B12" s="409"/>
      <c r="C12" s="409" t="s">
        <v>691</v>
      </c>
      <c r="D12" s="409"/>
      <c r="E12" s="409"/>
      <c r="F12" s="409"/>
      <c r="G12" s="409"/>
      <c r="H12" s="410">
        <f>H11+H9</f>
        <v>24892</v>
      </c>
      <c r="I12" s="411"/>
      <c r="J12" s="411"/>
    </row>
    <row r="13" spans="2:17" ht="15">
      <c r="B13" s="392"/>
      <c r="C13" s="392"/>
      <c r="D13" s="392"/>
      <c r="E13" s="392"/>
      <c r="F13" s="392"/>
      <c r="G13" s="392"/>
      <c r="H13" s="392"/>
      <c r="I13" s="393"/>
      <c r="J13" s="393"/>
    </row>
    <row r="14" spans="2:17" ht="15">
      <c r="B14" s="392"/>
      <c r="C14" s="556" t="s">
        <v>333</v>
      </c>
      <c r="D14" s="556"/>
      <c r="E14" s="556"/>
      <c r="F14" s="556"/>
      <c r="G14" s="556"/>
      <c r="H14" s="556"/>
      <c r="I14" s="556"/>
      <c r="J14" s="556"/>
      <c r="K14" s="556"/>
      <c r="L14" s="556"/>
      <c r="M14" s="556"/>
      <c r="N14" s="556"/>
      <c r="O14" s="556"/>
      <c r="P14" s="556"/>
      <c r="Q14" s="556"/>
    </row>
    <row r="15" spans="2:17" ht="15">
      <c r="B15" s="392"/>
      <c r="C15" s="560"/>
      <c r="D15" s="560"/>
      <c r="E15" s="560"/>
      <c r="F15" s="560"/>
      <c r="G15" s="560"/>
      <c r="H15" s="560"/>
      <c r="I15" s="560"/>
      <c r="J15" s="560"/>
      <c r="K15" s="560"/>
      <c r="L15" s="560"/>
      <c r="M15" s="560"/>
      <c r="N15" s="560"/>
      <c r="O15" s="560"/>
      <c r="P15" s="560"/>
      <c r="Q15" s="560"/>
    </row>
    <row r="16" spans="2:17" ht="15">
      <c r="B16" s="392"/>
      <c r="C16" s="556" t="s">
        <v>6</v>
      </c>
      <c r="D16" s="556"/>
      <c r="E16" s="556"/>
      <c r="F16" s="556"/>
      <c r="G16" s="556"/>
      <c r="H16" s="556"/>
      <c r="I16" s="556"/>
      <c r="J16" s="556"/>
      <c r="K16" s="556"/>
      <c r="L16" s="556"/>
      <c r="M16" s="556"/>
      <c r="N16" s="556"/>
      <c r="O16" s="556"/>
      <c r="P16" s="556"/>
      <c r="Q16" s="556"/>
    </row>
    <row r="17" spans="2:17" ht="15">
      <c r="B17" s="392"/>
      <c r="C17" s="392"/>
      <c r="D17" s="392"/>
      <c r="E17" s="392"/>
      <c r="F17" s="392"/>
      <c r="G17" s="392"/>
      <c r="H17" s="392"/>
      <c r="I17" s="393"/>
      <c r="J17" s="393"/>
    </row>
    <row r="27" spans="2:17">
      <c r="Q27" s="38" t="s">
        <v>668</v>
      </c>
    </row>
  </sheetData>
  <mergeCells count="6">
    <mergeCell ref="C16:Q16"/>
    <mergeCell ref="C11:D11"/>
    <mergeCell ref="C9:D9"/>
    <mergeCell ref="D3:H3"/>
    <mergeCell ref="C14:Q14"/>
    <mergeCell ref="C15:Q15"/>
  </mergeCells>
  <pageMargins left="0.7" right="0.7" top="0.75" bottom="0.75" header="0.3" footer="0.3"/>
  <pageSetup paperSize="9" scale="8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F0"/>
  </sheetPr>
  <dimension ref="B1:T78"/>
  <sheetViews>
    <sheetView topLeftCell="A19" zoomScale="90" zoomScaleNormal="90" zoomScaleSheetLayoutView="75" workbookViewId="0">
      <selection activeCell="J24" sqref="J24"/>
    </sheetView>
  </sheetViews>
  <sheetFormatPr defaultColWidth="9.140625" defaultRowHeight="12.75"/>
  <cols>
    <col min="1" max="1" width="1.28515625" style="2" customWidth="1"/>
    <col min="2" max="2" width="9.140625" style="2"/>
    <col min="3" max="3" width="25.42578125" style="2" customWidth="1"/>
    <col min="4" max="4" width="9.140625" style="2"/>
    <col min="5" max="5" width="0" style="2" hidden="1" customWidth="1"/>
    <col min="6" max="6" width="8.140625" style="2" hidden="1" customWidth="1"/>
    <col min="7" max="7" width="0" style="2" hidden="1" customWidth="1"/>
    <col min="8" max="8" width="12.7109375" style="99" bestFit="1" customWidth="1"/>
    <col min="9" max="9" width="9.140625" style="2" customWidth="1"/>
    <col min="10" max="10" width="7.85546875" style="2" customWidth="1"/>
    <col min="11" max="11" width="9.140625" style="2" customWidth="1"/>
    <col min="12" max="12" width="9" style="2" customWidth="1"/>
    <col min="13" max="13" width="9.140625" style="2"/>
    <col min="14" max="14" width="8.140625" style="2" customWidth="1"/>
    <col min="15" max="15" width="9.140625" style="2"/>
    <col min="16" max="16" width="13.28515625" style="2" customWidth="1"/>
    <col min="17" max="17" width="9.140625" style="2" customWidth="1"/>
    <col min="18" max="18" width="8.5703125" style="2" customWidth="1"/>
    <col min="19" max="20" width="9.140625" style="2" customWidth="1"/>
    <col min="21" max="16384" width="9.140625" style="2"/>
  </cols>
  <sheetData>
    <row r="1" spans="2:20" ht="9" customHeight="1"/>
    <row r="2" spans="2:20" ht="12.75" customHeight="1">
      <c r="B2" s="691" t="s">
        <v>39</v>
      </c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691"/>
      <c r="T2" s="691"/>
    </row>
    <row r="3" spans="2:20" ht="12.75" customHeight="1">
      <c r="B3" s="563" t="s">
        <v>40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</row>
    <row r="4" spans="2:20" ht="12.75" customHeight="1">
      <c r="B4" s="563" t="s">
        <v>41</v>
      </c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</row>
    <row r="5" spans="2:20" ht="12.75" customHeight="1" thickBot="1">
      <c r="B5" s="564" t="s">
        <v>42</v>
      </c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564"/>
      <c r="P5" s="564"/>
      <c r="Q5" s="564"/>
      <c r="R5" s="564"/>
      <c r="S5" s="564"/>
      <c r="T5" s="564"/>
    </row>
    <row r="6" spans="2:20" ht="25.5" customHeight="1" thickBot="1">
      <c r="B6" s="689" t="s">
        <v>7</v>
      </c>
      <c r="C6" s="690" t="s">
        <v>8</v>
      </c>
      <c r="D6" s="690" t="s">
        <v>0</v>
      </c>
      <c r="E6" s="690" t="s">
        <v>43</v>
      </c>
      <c r="F6" s="690"/>
      <c r="G6" s="690"/>
      <c r="H6" s="690"/>
      <c r="I6" s="690" t="s">
        <v>44</v>
      </c>
      <c r="J6" s="690"/>
      <c r="K6" s="690"/>
      <c r="L6" s="690"/>
      <c r="M6" s="690" t="s">
        <v>45</v>
      </c>
      <c r="N6" s="690"/>
      <c r="O6" s="690"/>
      <c r="P6" s="690"/>
      <c r="Q6" s="690" t="s">
        <v>46</v>
      </c>
      <c r="R6" s="690"/>
      <c r="S6" s="690"/>
      <c r="T6" s="690"/>
    </row>
    <row r="7" spans="2:20" ht="12.4" customHeight="1" thickBot="1">
      <c r="B7" s="689"/>
      <c r="C7" s="690"/>
      <c r="D7" s="690"/>
      <c r="E7" s="684" t="s">
        <v>47</v>
      </c>
      <c r="F7" s="684" t="s">
        <v>48</v>
      </c>
      <c r="G7" s="684" t="s">
        <v>49</v>
      </c>
      <c r="H7" s="684" t="s">
        <v>50</v>
      </c>
      <c r="I7" s="684" t="s">
        <v>47</v>
      </c>
      <c r="J7" s="684" t="s">
        <v>48</v>
      </c>
      <c r="K7" s="684" t="s">
        <v>49</v>
      </c>
      <c r="L7" s="684" t="s">
        <v>51</v>
      </c>
      <c r="M7" s="684" t="s">
        <v>47</v>
      </c>
      <c r="N7" s="684" t="s">
        <v>48</v>
      </c>
      <c r="O7" s="684" t="s">
        <v>49</v>
      </c>
      <c r="P7" s="688" t="s">
        <v>51</v>
      </c>
      <c r="Q7" s="684" t="s">
        <v>47</v>
      </c>
      <c r="R7" s="684" t="s">
        <v>48</v>
      </c>
      <c r="S7" s="684" t="s">
        <v>49</v>
      </c>
      <c r="T7" s="684" t="s">
        <v>51</v>
      </c>
    </row>
    <row r="8" spans="2:20" ht="13.5" thickBot="1">
      <c r="B8" s="689"/>
      <c r="C8" s="690"/>
      <c r="D8" s="690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684"/>
      <c r="P8" s="688"/>
      <c r="Q8" s="684"/>
      <c r="R8" s="684"/>
      <c r="S8" s="684"/>
      <c r="T8" s="684"/>
    </row>
    <row r="9" spans="2:20" ht="13.5" thickBot="1">
      <c r="B9" s="689"/>
      <c r="C9" s="690"/>
      <c r="D9" s="690"/>
      <c r="E9" s="684"/>
      <c r="F9" s="684"/>
      <c r="G9" s="684"/>
      <c r="H9" s="684"/>
      <c r="I9" s="684"/>
      <c r="J9" s="684"/>
      <c r="K9" s="684"/>
      <c r="L9" s="684"/>
      <c r="M9" s="684"/>
      <c r="N9" s="684"/>
      <c r="O9" s="684"/>
      <c r="P9" s="688"/>
      <c r="Q9" s="684"/>
      <c r="R9" s="684"/>
      <c r="S9" s="684"/>
      <c r="T9" s="684"/>
    </row>
    <row r="10" spans="2:20" ht="13.5" thickBot="1">
      <c r="B10" s="689"/>
      <c r="C10" s="690"/>
      <c r="D10" s="690"/>
      <c r="E10" s="684"/>
      <c r="F10" s="684"/>
      <c r="G10" s="684"/>
      <c r="H10" s="684"/>
      <c r="I10" s="684"/>
      <c r="J10" s="684"/>
      <c r="K10" s="684"/>
      <c r="L10" s="684"/>
      <c r="M10" s="684"/>
      <c r="N10" s="684"/>
      <c r="O10" s="684"/>
      <c r="P10" s="688"/>
      <c r="Q10" s="684"/>
      <c r="R10" s="684"/>
      <c r="S10" s="684"/>
      <c r="T10" s="684"/>
    </row>
    <row r="11" spans="2:20" ht="13.5" thickBot="1">
      <c r="B11" s="689"/>
      <c r="C11" s="690"/>
      <c r="D11" s="690"/>
      <c r="E11" s="684"/>
      <c r="F11" s="684"/>
      <c r="G11" s="684"/>
      <c r="H11" s="684"/>
      <c r="I11" s="684"/>
      <c r="J11" s="684"/>
      <c r="K11" s="684"/>
      <c r="L11" s="684"/>
      <c r="M11" s="684"/>
      <c r="N11" s="684"/>
      <c r="O11" s="684"/>
      <c r="P11" s="688"/>
      <c r="Q11" s="684"/>
      <c r="R11" s="684"/>
      <c r="S11" s="684"/>
      <c r="T11" s="684"/>
    </row>
    <row r="12" spans="2:20" ht="13.5" thickBot="1">
      <c r="B12" s="13">
        <v>1</v>
      </c>
      <c r="C12" s="3">
        <v>2</v>
      </c>
      <c r="D12" s="3">
        <v>3</v>
      </c>
      <c r="E12" s="3">
        <v>4</v>
      </c>
      <c r="F12" s="3">
        <v>5</v>
      </c>
      <c r="G12" s="3">
        <v>6</v>
      </c>
      <c r="H12" s="3">
        <v>7</v>
      </c>
      <c r="I12" s="3">
        <v>8</v>
      </c>
      <c r="J12" s="3">
        <v>9</v>
      </c>
      <c r="K12" s="3">
        <v>10</v>
      </c>
      <c r="L12" s="3">
        <v>11</v>
      </c>
      <c r="M12" s="3">
        <v>12</v>
      </c>
      <c r="N12" s="3">
        <v>13</v>
      </c>
      <c r="O12" s="3">
        <v>14</v>
      </c>
      <c r="P12" s="28">
        <v>15</v>
      </c>
      <c r="Q12" s="3">
        <v>16</v>
      </c>
      <c r="R12" s="3">
        <v>17</v>
      </c>
      <c r="S12" s="3">
        <v>18</v>
      </c>
      <c r="T12" s="3">
        <v>19</v>
      </c>
    </row>
    <row r="13" spans="2:20" ht="26.25" thickBot="1">
      <c r="B13" s="526">
        <v>1</v>
      </c>
      <c r="C13" s="527" t="s">
        <v>52</v>
      </c>
      <c r="D13" s="447" t="s">
        <v>53</v>
      </c>
      <c r="E13" s="447">
        <v>0</v>
      </c>
      <c r="F13" s="447">
        <v>0</v>
      </c>
      <c r="G13" s="447">
        <v>0</v>
      </c>
      <c r="H13" s="454">
        <f>H14+H20+H21+H25</f>
        <v>5492.6834692792527</v>
      </c>
      <c r="I13" s="448">
        <f t="shared" ref="I13:O13" si="0">I14+I20+I21+I25</f>
        <v>0</v>
      </c>
      <c r="J13" s="448">
        <f t="shared" si="0"/>
        <v>0</v>
      </c>
      <c r="K13" s="448">
        <f t="shared" si="0"/>
        <v>0</v>
      </c>
      <c r="L13" s="448">
        <f t="shared" si="0"/>
        <v>0</v>
      </c>
      <c r="M13" s="448">
        <f t="shared" si="0"/>
        <v>0</v>
      </c>
      <c r="N13" s="448">
        <f t="shared" si="0"/>
        <v>0</v>
      </c>
      <c r="O13" s="448">
        <f t="shared" si="0"/>
        <v>8962.16</v>
      </c>
      <c r="P13" s="448">
        <f>H13</f>
        <v>5492.6834692792527</v>
      </c>
      <c r="Q13" s="447">
        <v>0</v>
      </c>
      <c r="R13" s="447">
        <v>0</v>
      </c>
      <c r="S13" s="447">
        <v>0</v>
      </c>
      <c r="T13" s="447">
        <v>0</v>
      </c>
    </row>
    <row r="14" spans="2:20" ht="26.25" thickBot="1">
      <c r="B14" s="525" t="s">
        <v>23</v>
      </c>
      <c r="C14" s="524" t="s">
        <v>54</v>
      </c>
      <c r="D14" s="3" t="s">
        <v>53</v>
      </c>
      <c r="E14" s="3">
        <v>0</v>
      </c>
      <c r="F14" s="3">
        <v>0</v>
      </c>
      <c r="G14" s="3">
        <v>0</v>
      </c>
      <c r="H14" s="455">
        <f>H15+H16+H17+H18+H19</f>
        <v>3221.8081482792531</v>
      </c>
      <c r="I14" s="453">
        <f t="shared" ref="I14:O14" si="1">I15+I16+I17+I18+I19</f>
        <v>0</v>
      </c>
      <c r="J14" s="453">
        <f t="shared" si="1"/>
        <v>0</v>
      </c>
      <c r="K14" s="453">
        <f t="shared" si="1"/>
        <v>0</v>
      </c>
      <c r="L14" s="453">
        <f t="shared" si="1"/>
        <v>0</v>
      </c>
      <c r="M14" s="453">
        <f t="shared" si="1"/>
        <v>0</v>
      </c>
      <c r="N14" s="453">
        <f t="shared" si="1"/>
        <v>0</v>
      </c>
      <c r="O14" s="453">
        <f t="shared" si="1"/>
        <v>6984.4999999999991</v>
      </c>
      <c r="P14" s="448">
        <f t="shared" ref="P14:P71" si="2">H14</f>
        <v>3221.8081482792531</v>
      </c>
      <c r="Q14" s="3">
        <v>0</v>
      </c>
      <c r="R14" s="3">
        <v>0</v>
      </c>
      <c r="S14" s="3">
        <v>0</v>
      </c>
      <c r="T14" s="3">
        <v>0</v>
      </c>
    </row>
    <row r="15" spans="2:20" ht="28.5" customHeight="1" thickBot="1">
      <c r="B15" s="6" t="s">
        <v>55</v>
      </c>
      <c r="C15" s="5" t="s">
        <v>56</v>
      </c>
      <c r="D15" s="3" t="s">
        <v>53</v>
      </c>
      <c r="E15" s="3">
        <v>0</v>
      </c>
      <c r="F15" s="3">
        <v>0</v>
      </c>
      <c r="G15" s="3">
        <v>0</v>
      </c>
      <c r="H15" s="456">
        <f>'[1] ТЕ на 20 -21 по таб от 170820'!$F$14/1000</f>
        <v>3024.7992168000001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6610.53</v>
      </c>
      <c r="P15" s="448">
        <f t="shared" si="2"/>
        <v>3024.7992168000001</v>
      </c>
      <c r="Q15" s="3">
        <v>0</v>
      </c>
      <c r="R15" s="3">
        <v>0</v>
      </c>
      <c r="S15" s="3">
        <v>0</v>
      </c>
      <c r="T15" s="3">
        <v>0</v>
      </c>
    </row>
    <row r="16" spans="2:20" ht="35.25" customHeight="1" thickBot="1">
      <c r="B16" s="6" t="s">
        <v>57</v>
      </c>
      <c r="C16" s="5" t="s">
        <v>58</v>
      </c>
      <c r="D16" s="3" t="s">
        <v>53</v>
      </c>
      <c r="E16" s="3">
        <v>0</v>
      </c>
      <c r="F16" s="3">
        <v>0</v>
      </c>
      <c r="G16" s="3">
        <v>0</v>
      </c>
      <c r="H16" s="456">
        <f>'[1] ТЕ на 20 -21 по таб от 170820'!$F$15/1000</f>
        <v>169.63945314591996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372.03</v>
      </c>
      <c r="P16" s="448">
        <f t="shared" si="2"/>
        <v>169.63945314591996</v>
      </c>
      <c r="Q16" s="3">
        <v>0</v>
      </c>
      <c r="R16" s="3">
        <v>0</v>
      </c>
      <c r="S16" s="3">
        <v>0</v>
      </c>
      <c r="T16" s="3">
        <v>0</v>
      </c>
    </row>
    <row r="17" spans="2:20" ht="79.5" hidden="1" customHeight="1" thickBot="1">
      <c r="B17" s="6" t="s">
        <v>59</v>
      </c>
      <c r="C17" s="5" t="s">
        <v>60</v>
      </c>
      <c r="D17" s="3" t="s">
        <v>53</v>
      </c>
      <c r="E17" s="3">
        <v>0</v>
      </c>
      <c r="F17" s="3">
        <v>0</v>
      </c>
      <c r="G17" s="3">
        <v>0</v>
      </c>
      <c r="H17" s="457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448">
        <f t="shared" si="2"/>
        <v>0</v>
      </c>
      <c r="Q17" s="3">
        <v>0</v>
      </c>
      <c r="R17" s="3">
        <v>0</v>
      </c>
      <c r="S17" s="3">
        <v>0</v>
      </c>
      <c r="T17" s="3">
        <v>0</v>
      </c>
    </row>
    <row r="18" spans="2:20" ht="26.25" thickBot="1">
      <c r="B18" s="6" t="s">
        <v>61</v>
      </c>
      <c r="C18" s="5" t="s">
        <v>62</v>
      </c>
      <c r="D18" s="3" t="s">
        <v>53</v>
      </c>
      <c r="E18" s="3">
        <v>0</v>
      </c>
      <c r="F18" s="3">
        <v>0</v>
      </c>
      <c r="G18" s="3">
        <v>0</v>
      </c>
      <c r="H18" s="456">
        <f>'[1] ТЕ на 20 -21 по таб от 170820'!$F$18/1000</f>
        <v>2.4752699999999996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1.94</v>
      </c>
      <c r="P18" s="448">
        <f t="shared" si="2"/>
        <v>2.4752699999999996</v>
      </c>
      <c r="Q18" s="3">
        <v>0</v>
      </c>
      <c r="R18" s="3">
        <v>0</v>
      </c>
      <c r="S18" s="3">
        <v>0</v>
      </c>
      <c r="T18" s="3">
        <v>0</v>
      </c>
    </row>
    <row r="19" spans="2:20" ht="30" customHeight="1" thickBot="1">
      <c r="B19" s="6" t="s">
        <v>63</v>
      </c>
      <c r="C19" s="5" t="s">
        <v>64</v>
      </c>
      <c r="D19" s="3" t="s">
        <v>53</v>
      </c>
      <c r="E19" s="3">
        <v>0</v>
      </c>
      <c r="F19" s="3">
        <v>0</v>
      </c>
      <c r="G19" s="3">
        <v>0</v>
      </c>
      <c r="H19" s="456">
        <f>'[1] ТЕ на 20 -21 по таб от 170820'!$F$19/1000</f>
        <v>24.894208333333335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448">
        <f t="shared" si="2"/>
        <v>24.894208333333335</v>
      </c>
      <c r="Q19" s="3">
        <v>0</v>
      </c>
      <c r="R19" s="3">
        <v>0</v>
      </c>
      <c r="S19" s="3">
        <v>0</v>
      </c>
      <c r="T19" s="3">
        <v>0</v>
      </c>
    </row>
    <row r="20" spans="2:20" ht="26.25" thickBot="1">
      <c r="B20" s="525" t="s">
        <v>25</v>
      </c>
      <c r="C20" s="524" t="s">
        <v>65</v>
      </c>
      <c r="D20" s="3" t="s">
        <v>53</v>
      </c>
      <c r="E20" s="3">
        <v>0</v>
      </c>
      <c r="F20" s="3">
        <v>0</v>
      </c>
      <c r="G20" s="3">
        <v>0</v>
      </c>
      <c r="H20" s="455">
        <f>('[1] ТЕ на 20 -21 по таб от 170820'!$F$26+'[1] ТЕ на 20 -21 по таб от 170820'!$F$27)/1000</f>
        <v>247.97529999999998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145.72</v>
      </c>
      <c r="P20" s="448">
        <f t="shared" si="2"/>
        <v>247.97529999999998</v>
      </c>
      <c r="Q20" s="3">
        <v>0</v>
      </c>
      <c r="R20" s="3">
        <v>0</v>
      </c>
      <c r="S20" s="3">
        <v>0</v>
      </c>
      <c r="T20" s="3">
        <v>0</v>
      </c>
    </row>
    <row r="21" spans="2:20" ht="13.5" thickBot="1">
      <c r="B21" s="525" t="s">
        <v>66</v>
      </c>
      <c r="C21" s="524" t="s">
        <v>67</v>
      </c>
      <c r="D21" s="3"/>
      <c r="E21" s="3">
        <v>0</v>
      </c>
      <c r="F21" s="3">
        <v>0</v>
      </c>
      <c r="G21" s="3">
        <v>0</v>
      </c>
      <c r="H21" s="456">
        <f>H22+H23+H24</f>
        <v>266.184821</v>
      </c>
      <c r="I21" s="14">
        <f t="shared" ref="I21:O21" si="3">I22+I23+I24</f>
        <v>0</v>
      </c>
      <c r="J21" s="14">
        <f t="shared" si="3"/>
        <v>0</v>
      </c>
      <c r="K21" s="14">
        <f t="shared" si="3"/>
        <v>0</v>
      </c>
      <c r="L21" s="14">
        <f t="shared" si="3"/>
        <v>0</v>
      </c>
      <c r="M21" s="14">
        <f t="shared" si="3"/>
        <v>0</v>
      </c>
      <c r="N21" s="14">
        <f t="shared" si="3"/>
        <v>0</v>
      </c>
      <c r="O21" s="14">
        <f t="shared" si="3"/>
        <v>32.06</v>
      </c>
      <c r="P21" s="448">
        <f t="shared" si="2"/>
        <v>266.184821</v>
      </c>
      <c r="Q21" s="3">
        <v>0</v>
      </c>
      <c r="R21" s="3">
        <v>0</v>
      </c>
      <c r="S21" s="3">
        <v>0</v>
      </c>
      <c r="T21" s="3">
        <v>0</v>
      </c>
    </row>
    <row r="22" spans="2:20" ht="26.25" thickBot="1">
      <c r="B22" s="6" t="s">
        <v>68</v>
      </c>
      <c r="C22" s="5" t="s">
        <v>69</v>
      </c>
      <c r="D22" s="3" t="s">
        <v>53</v>
      </c>
      <c r="E22" s="3">
        <v>0</v>
      </c>
      <c r="F22" s="3">
        <v>0</v>
      </c>
      <c r="G22" s="3">
        <v>0</v>
      </c>
      <c r="H22" s="456">
        <f>'[1] ТЕ на 20 -21 по таб от 170820'!$F$30/1000</f>
        <v>54.554566000000001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32.06</v>
      </c>
      <c r="P22" s="448">
        <f t="shared" si="2"/>
        <v>54.554566000000001</v>
      </c>
      <c r="Q22" s="3">
        <v>0</v>
      </c>
      <c r="R22" s="3">
        <v>0</v>
      </c>
      <c r="S22" s="3">
        <v>0</v>
      </c>
      <c r="T22" s="3">
        <v>0</v>
      </c>
    </row>
    <row r="23" spans="2:20" ht="13.5" thickBot="1">
      <c r="B23" s="6" t="s">
        <v>70</v>
      </c>
      <c r="C23" s="5" t="s">
        <v>71</v>
      </c>
      <c r="D23" s="3" t="s">
        <v>53</v>
      </c>
      <c r="E23" s="3">
        <v>0</v>
      </c>
      <c r="F23" s="3">
        <v>0</v>
      </c>
      <c r="G23" s="3">
        <v>0</v>
      </c>
      <c r="H23" s="456">
        <f>'[1] ТЕ на 20 -21 по таб от 170820'!$F$31/1000</f>
        <v>174.99993000000001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448">
        <f t="shared" si="2"/>
        <v>174.99993000000001</v>
      </c>
      <c r="Q23" s="3">
        <v>0</v>
      </c>
      <c r="R23" s="3">
        <v>0</v>
      </c>
      <c r="S23" s="3">
        <v>0</v>
      </c>
      <c r="T23" s="3">
        <v>0</v>
      </c>
    </row>
    <row r="24" spans="2:20" ht="13.5" thickBot="1">
      <c r="B24" s="6" t="s">
        <v>72</v>
      </c>
      <c r="C24" s="5" t="s">
        <v>73</v>
      </c>
      <c r="D24" s="3" t="s">
        <v>53</v>
      </c>
      <c r="E24" s="3">
        <v>0</v>
      </c>
      <c r="F24" s="3">
        <v>0</v>
      </c>
      <c r="G24" s="3">
        <v>0</v>
      </c>
      <c r="H24" s="456">
        <f>'[1] ТЕ на 20 -21 по таб от 170820'!$F$33/1000</f>
        <v>36.630325000000006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448">
        <f t="shared" si="2"/>
        <v>36.630325000000006</v>
      </c>
      <c r="Q24" s="3">
        <v>0</v>
      </c>
      <c r="R24" s="3">
        <v>0</v>
      </c>
      <c r="S24" s="3">
        <v>0</v>
      </c>
      <c r="T24" s="3">
        <v>0</v>
      </c>
    </row>
    <row r="25" spans="2:20" ht="26.25" thickBot="1">
      <c r="B25" s="6" t="s">
        <v>74</v>
      </c>
      <c r="C25" s="524" t="s">
        <v>75</v>
      </c>
      <c r="D25" s="3" t="s">
        <v>53</v>
      </c>
      <c r="E25" s="3">
        <v>0</v>
      </c>
      <c r="F25" s="3">
        <v>0</v>
      </c>
      <c r="G25" s="3">
        <v>0</v>
      </c>
      <c r="H25" s="455">
        <f>H26+H27+H28</f>
        <v>1756.7152000000001</v>
      </c>
      <c r="I25" s="453">
        <f t="shared" ref="I25:O25" si="4">I26+I27+I28</f>
        <v>0</v>
      </c>
      <c r="J25" s="453">
        <f t="shared" si="4"/>
        <v>0</v>
      </c>
      <c r="K25" s="453">
        <f t="shared" si="4"/>
        <v>0</v>
      </c>
      <c r="L25" s="453">
        <f t="shared" si="4"/>
        <v>0</v>
      </c>
      <c r="M25" s="453">
        <f t="shared" si="4"/>
        <v>0</v>
      </c>
      <c r="N25" s="453">
        <f t="shared" si="4"/>
        <v>0</v>
      </c>
      <c r="O25" s="453">
        <f t="shared" si="4"/>
        <v>1799.88</v>
      </c>
      <c r="P25" s="448">
        <f t="shared" si="2"/>
        <v>1756.7152000000001</v>
      </c>
      <c r="Q25" s="3">
        <v>0</v>
      </c>
      <c r="R25" s="3">
        <v>0</v>
      </c>
      <c r="S25" s="3">
        <v>0</v>
      </c>
      <c r="T25" s="3">
        <v>0</v>
      </c>
    </row>
    <row r="26" spans="2:20" ht="13.5" thickBot="1">
      <c r="B26" s="6" t="s">
        <v>76</v>
      </c>
      <c r="C26" s="5" t="s">
        <v>77</v>
      </c>
      <c r="D26" s="3" t="s">
        <v>53</v>
      </c>
      <c r="E26" s="3">
        <v>0</v>
      </c>
      <c r="F26" s="3">
        <v>0</v>
      </c>
      <c r="G26" s="3">
        <v>0</v>
      </c>
      <c r="H26" s="456">
        <f>('[1] ТЕ на 20 -21 по таб от 170820'!$F$36+'[1] ТЕ на 20 -21 по таб от 170820'!$F$37)/1000</f>
        <v>116.16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227.56</v>
      </c>
      <c r="P26" s="448">
        <f t="shared" si="2"/>
        <v>116.16</v>
      </c>
      <c r="Q26" s="3">
        <v>0</v>
      </c>
      <c r="R26" s="3">
        <v>0</v>
      </c>
      <c r="S26" s="3">
        <v>0</v>
      </c>
      <c r="T26" s="3">
        <v>0</v>
      </c>
    </row>
    <row r="27" spans="2:20" ht="26.25" thickBot="1">
      <c r="B27" s="6" t="s">
        <v>78</v>
      </c>
      <c r="C27" s="5" t="s">
        <v>69</v>
      </c>
      <c r="D27" s="3" t="s">
        <v>53</v>
      </c>
      <c r="E27" s="3">
        <v>0</v>
      </c>
      <c r="F27" s="3">
        <v>0</v>
      </c>
      <c r="G27" s="3">
        <v>0</v>
      </c>
      <c r="H27" s="456">
        <f>'[1] ТЕ на 20 -21 по таб от 170820'!$F$39/1000</f>
        <v>25.555199999999999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50.06</v>
      </c>
      <c r="P27" s="448">
        <f t="shared" si="2"/>
        <v>25.555199999999999</v>
      </c>
      <c r="Q27" s="3">
        <v>0</v>
      </c>
      <c r="R27" s="3">
        <v>0</v>
      </c>
      <c r="S27" s="3">
        <v>0</v>
      </c>
      <c r="T27" s="3">
        <v>0</v>
      </c>
    </row>
    <row r="28" spans="2:20" ht="13.5" thickBot="1">
      <c r="B28" s="6" t="s">
        <v>79</v>
      </c>
      <c r="C28" s="5" t="s">
        <v>80</v>
      </c>
      <c r="D28" s="3" t="s">
        <v>53</v>
      </c>
      <c r="E28" s="3">
        <v>0</v>
      </c>
      <c r="F28" s="3">
        <v>0</v>
      </c>
      <c r="G28" s="3">
        <v>0</v>
      </c>
      <c r="H28" s="457">
        <f>'[1] ТЕ на 20 -21 по таб от 170820'!$F$42/1000</f>
        <v>1615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1522.26</v>
      </c>
      <c r="P28" s="448">
        <f t="shared" si="2"/>
        <v>1615</v>
      </c>
      <c r="Q28" s="3">
        <v>0</v>
      </c>
      <c r="R28" s="3">
        <v>0</v>
      </c>
      <c r="S28" s="3">
        <v>0</v>
      </c>
      <c r="T28" s="3">
        <v>0</v>
      </c>
    </row>
    <row r="29" spans="2:20" ht="26.25" thickBot="1">
      <c r="B29" s="449">
        <v>2</v>
      </c>
      <c r="C29" s="527" t="s">
        <v>81</v>
      </c>
      <c r="D29" s="447" t="s">
        <v>53</v>
      </c>
      <c r="E29" s="447">
        <v>0</v>
      </c>
      <c r="F29" s="447">
        <v>0</v>
      </c>
      <c r="G29" s="447">
        <v>0</v>
      </c>
      <c r="H29" s="452">
        <f>H30+H31+H32</f>
        <v>347.68768666666665</v>
      </c>
      <c r="I29" s="452">
        <f t="shared" ref="I29:O29" si="5">I30+I31+I32</f>
        <v>0</v>
      </c>
      <c r="J29" s="452">
        <f t="shared" si="5"/>
        <v>0</v>
      </c>
      <c r="K29" s="452">
        <f t="shared" si="5"/>
        <v>0</v>
      </c>
      <c r="L29" s="452">
        <f t="shared" si="5"/>
        <v>0</v>
      </c>
      <c r="M29" s="452">
        <f t="shared" si="5"/>
        <v>0</v>
      </c>
      <c r="N29" s="452">
        <f t="shared" si="5"/>
        <v>0</v>
      </c>
      <c r="O29" s="452">
        <f t="shared" si="5"/>
        <v>308.88</v>
      </c>
      <c r="P29" s="448">
        <f t="shared" si="2"/>
        <v>347.68768666666665</v>
      </c>
      <c r="Q29" s="447">
        <v>0</v>
      </c>
      <c r="R29" s="447">
        <v>0</v>
      </c>
      <c r="S29" s="447">
        <v>0</v>
      </c>
      <c r="T29" s="447">
        <v>0</v>
      </c>
    </row>
    <row r="30" spans="2:20" ht="13.5" thickBot="1">
      <c r="B30" s="6" t="s">
        <v>26</v>
      </c>
      <c r="C30" s="5" t="s">
        <v>77</v>
      </c>
      <c r="D30" s="3" t="s">
        <v>53</v>
      </c>
      <c r="E30" s="3">
        <v>0</v>
      </c>
      <c r="F30" s="3">
        <v>0</v>
      </c>
      <c r="G30" s="3">
        <v>0</v>
      </c>
      <c r="H30" s="456">
        <f>('[1] ТЕ на 20 -21 по таб от 170820'!$F$67+'[1] ТЕ на 20 -21 по таб от 170820'!$F$68)/1000/3</f>
        <v>222.5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97.89</v>
      </c>
      <c r="P30" s="448">
        <f t="shared" si="2"/>
        <v>222.5</v>
      </c>
      <c r="Q30" s="3">
        <v>0</v>
      </c>
      <c r="R30" s="3">
        <v>0</v>
      </c>
      <c r="S30" s="3">
        <v>0</v>
      </c>
      <c r="T30" s="3">
        <v>0</v>
      </c>
    </row>
    <row r="31" spans="2:20" ht="26.25" thickBot="1">
      <c r="B31" s="6" t="s">
        <v>27</v>
      </c>
      <c r="C31" s="5" t="s">
        <v>82</v>
      </c>
      <c r="D31" s="3" t="s">
        <v>53</v>
      </c>
      <c r="E31" s="3">
        <v>0</v>
      </c>
      <c r="F31" s="3">
        <v>0</v>
      </c>
      <c r="G31" s="3">
        <v>0</v>
      </c>
      <c r="H31" s="456">
        <f>'[1] ТЕ на 20 -21 по таб от 170820'!$F$70/1000/3</f>
        <v>48.949999999999996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21.54</v>
      </c>
      <c r="P31" s="448">
        <f t="shared" si="2"/>
        <v>48.949999999999996</v>
      </c>
      <c r="Q31" s="3">
        <v>0</v>
      </c>
      <c r="R31" s="3">
        <v>0</v>
      </c>
      <c r="S31" s="3">
        <v>0</v>
      </c>
      <c r="T31" s="3">
        <v>0</v>
      </c>
    </row>
    <row r="32" spans="2:20" ht="13.5" thickBot="1">
      <c r="B32" s="6" t="s">
        <v>83</v>
      </c>
      <c r="C32" s="5" t="s">
        <v>80</v>
      </c>
      <c r="D32" s="3" t="s">
        <v>53</v>
      </c>
      <c r="E32" s="3">
        <v>0</v>
      </c>
      <c r="F32" s="3">
        <v>0</v>
      </c>
      <c r="G32" s="3">
        <v>0</v>
      </c>
      <c r="H32" s="456">
        <f>('[1] ТЕ на 20 -21 по таб от 170820'!$F$65-'[1] ТЕ на 20 -21 по таб от 170820'!$F$67-'[1] ТЕ на 20 -21 по таб от 170820'!$F$68-'[1] ТЕ на 20 -21 по таб от 170820'!$F$70)/1000/3</f>
        <v>76.23768666666669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189.45</v>
      </c>
      <c r="P32" s="448">
        <f t="shared" si="2"/>
        <v>76.23768666666669</v>
      </c>
      <c r="Q32" s="3">
        <v>0</v>
      </c>
      <c r="R32" s="3">
        <v>0</v>
      </c>
      <c r="S32" s="3">
        <v>0</v>
      </c>
      <c r="T32" s="3">
        <v>0</v>
      </c>
    </row>
    <row r="33" spans="2:20" ht="28.5" customHeight="1" thickBot="1">
      <c r="B33" s="449">
        <v>3</v>
      </c>
      <c r="C33" s="527" t="s">
        <v>84</v>
      </c>
      <c r="D33" s="447" t="s">
        <v>53</v>
      </c>
      <c r="E33" s="447">
        <v>0</v>
      </c>
      <c r="F33" s="447">
        <v>0</v>
      </c>
      <c r="G33" s="447">
        <v>0</v>
      </c>
      <c r="H33" s="447">
        <f>H34+H35+H36</f>
        <v>0</v>
      </c>
      <c r="I33" s="447">
        <v>0</v>
      </c>
      <c r="J33" s="447">
        <v>0</v>
      </c>
      <c r="K33" s="447">
        <v>0</v>
      </c>
      <c r="L33" s="447">
        <v>0</v>
      </c>
      <c r="M33" s="447">
        <v>0</v>
      </c>
      <c r="N33" s="447">
        <v>0</v>
      </c>
      <c r="O33" s="447">
        <v>0</v>
      </c>
      <c r="P33" s="448">
        <f t="shared" si="2"/>
        <v>0</v>
      </c>
      <c r="Q33" s="447">
        <v>0</v>
      </c>
      <c r="R33" s="447">
        <v>0</v>
      </c>
      <c r="S33" s="447">
        <v>0</v>
      </c>
      <c r="T33" s="447">
        <v>0</v>
      </c>
    </row>
    <row r="34" spans="2:20" ht="13.5" thickBot="1">
      <c r="B34" s="6" t="s">
        <v>2</v>
      </c>
      <c r="C34" s="5" t="s">
        <v>77</v>
      </c>
      <c r="D34" s="3" t="s">
        <v>53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448">
        <f t="shared" si="2"/>
        <v>0</v>
      </c>
      <c r="Q34" s="3">
        <v>0</v>
      </c>
      <c r="R34" s="3">
        <v>0</v>
      </c>
      <c r="S34" s="3">
        <v>0</v>
      </c>
      <c r="T34" s="3">
        <v>0</v>
      </c>
    </row>
    <row r="35" spans="2:20" ht="26.25" thickBot="1">
      <c r="B35" s="6" t="s">
        <v>85</v>
      </c>
      <c r="C35" s="5" t="s">
        <v>82</v>
      </c>
      <c r="D35" s="3" t="s">
        <v>53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448">
        <f t="shared" si="2"/>
        <v>0</v>
      </c>
      <c r="Q35" s="3">
        <v>0</v>
      </c>
      <c r="R35" s="3">
        <v>0</v>
      </c>
      <c r="S35" s="3">
        <v>0</v>
      </c>
      <c r="T35" s="3">
        <v>0</v>
      </c>
    </row>
    <row r="36" spans="2:20" ht="13.5" thickBot="1">
      <c r="B36" s="6" t="s">
        <v>86</v>
      </c>
      <c r="C36" s="5" t="s">
        <v>80</v>
      </c>
      <c r="D36" s="3" t="s">
        <v>53</v>
      </c>
      <c r="E36" s="3">
        <v>0</v>
      </c>
      <c r="F36" s="3">
        <v>0</v>
      </c>
      <c r="G36" s="3">
        <v>0</v>
      </c>
      <c r="H36" s="3"/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448">
        <f t="shared" si="2"/>
        <v>0</v>
      </c>
      <c r="Q36" s="3">
        <v>0</v>
      </c>
      <c r="R36" s="3">
        <v>0</v>
      </c>
      <c r="S36" s="3">
        <v>0</v>
      </c>
      <c r="T36" s="3">
        <v>0</v>
      </c>
    </row>
    <row r="37" spans="2:20" ht="13.5" thickBot="1">
      <c r="B37" s="6">
        <v>4</v>
      </c>
      <c r="C37" s="524" t="s">
        <v>87</v>
      </c>
      <c r="D37" s="3" t="s">
        <v>53</v>
      </c>
      <c r="E37" s="3">
        <v>0</v>
      </c>
      <c r="F37" s="3">
        <v>0</v>
      </c>
      <c r="G37" s="3">
        <v>0</v>
      </c>
      <c r="H37" s="3"/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448">
        <f t="shared" si="2"/>
        <v>0</v>
      </c>
      <c r="Q37" s="3">
        <v>0</v>
      </c>
      <c r="R37" s="3">
        <v>0</v>
      </c>
      <c r="S37" s="3">
        <v>0</v>
      </c>
      <c r="T37" s="3">
        <v>0</v>
      </c>
    </row>
    <row r="38" spans="2:20" ht="13.5" thickBot="1">
      <c r="B38" s="6">
        <v>5</v>
      </c>
      <c r="C38" s="524" t="s">
        <v>88</v>
      </c>
      <c r="D38" s="3" t="s">
        <v>53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448">
        <f t="shared" si="2"/>
        <v>0</v>
      </c>
      <c r="Q38" s="3">
        <v>0</v>
      </c>
      <c r="R38" s="3">
        <v>0</v>
      </c>
      <c r="S38" s="3">
        <v>0</v>
      </c>
      <c r="T38" s="3">
        <v>0</v>
      </c>
    </row>
    <row r="39" spans="2:20" ht="27" customHeight="1" thickBot="1">
      <c r="B39" s="449">
        <v>6</v>
      </c>
      <c r="C39" s="527" t="s">
        <v>752</v>
      </c>
      <c r="D39" s="447" t="s">
        <v>53</v>
      </c>
      <c r="E39" s="447">
        <v>0</v>
      </c>
      <c r="F39" s="447">
        <v>0</v>
      </c>
      <c r="G39" s="447">
        <v>0</v>
      </c>
      <c r="H39" s="448">
        <f>H29+H13+H33+H37+H38</f>
        <v>5840.3711559459189</v>
      </c>
      <c r="I39" s="448">
        <f t="shared" ref="I39:O39" si="6">I29+I13+I33+I37+I38</f>
        <v>0</v>
      </c>
      <c r="J39" s="448">
        <f t="shared" si="6"/>
        <v>0</v>
      </c>
      <c r="K39" s="448">
        <f t="shared" si="6"/>
        <v>0</v>
      </c>
      <c r="L39" s="448">
        <f t="shared" si="6"/>
        <v>0</v>
      </c>
      <c r="M39" s="448">
        <f t="shared" si="6"/>
        <v>0</v>
      </c>
      <c r="N39" s="448">
        <f t="shared" si="6"/>
        <v>0</v>
      </c>
      <c r="O39" s="448">
        <f t="shared" si="6"/>
        <v>9271.0399999999991</v>
      </c>
      <c r="P39" s="448">
        <f t="shared" si="2"/>
        <v>5840.3711559459189</v>
      </c>
      <c r="Q39" s="447">
        <v>0</v>
      </c>
      <c r="R39" s="447">
        <v>0</v>
      </c>
      <c r="S39" s="447">
        <v>0</v>
      </c>
      <c r="T39" s="447">
        <v>0</v>
      </c>
    </row>
    <row r="40" spans="2:20" ht="26.25" thickBot="1">
      <c r="B40" s="8">
        <v>7</v>
      </c>
      <c r="C40" s="528" t="s">
        <v>90</v>
      </c>
      <c r="D40" s="10" t="s">
        <v>53</v>
      </c>
      <c r="E40" s="3">
        <v>0</v>
      </c>
      <c r="F40" s="3">
        <v>0</v>
      </c>
      <c r="G40" s="3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3">
        <v>0</v>
      </c>
      <c r="N40" s="3">
        <v>0</v>
      </c>
      <c r="O40" s="3">
        <v>0</v>
      </c>
      <c r="P40" s="448">
        <f t="shared" si="2"/>
        <v>0</v>
      </c>
      <c r="Q40" s="10">
        <v>0</v>
      </c>
      <c r="R40" s="10">
        <v>0</v>
      </c>
      <c r="S40" s="10">
        <v>0</v>
      </c>
      <c r="T40" s="10">
        <v>0</v>
      </c>
    </row>
    <row r="41" spans="2:20" ht="13.5" thickBot="1">
      <c r="B41" s="16" t="s">
        <v>91</v>
      </c>
      <c r="C41" s="17" t="s">
        <v>92</v>
      </c>
      <c r="D41" s="12" t="s">
        <v>53</v>
      </c>
      <c r="E41" s="3">
        <v>0</v>
      </c>
      <c r="F41" s="3">
        <v>0</v>
      </c>
      <c r="G41" s="3">
        <v>0</v>
      </c>
      <c r="H41" s="12">
        <v>0</v>
      </c>
      <c r="I41" s="12" t="s">
        <v>93</v>
      </c>
      <c r="J41" s="12" t="s">
        <v>93</v>
      </c>
      <c r="K41" s="12">
        <v>0</v>
      </c>
      <c r="L41" s="12">
        <v>0</v>
      </c>
      <c r="M41" s="12" t="s">
        <v>93</v>
      </c>
      <c r="N41" s="12" t="s">
        <v>93</v>
      </c>
      <c r="O41" s="12">
        <v>0</v>
      </c>
      <c r="P41" s="448">
        <f t="shared" si="2"/>
        <v>0</v>
      </c>
      <c r="Q41" s="12" t="s">
        <v>93</v>
      </c>
      <c r="R41" s="12" t="s">
        <v>93</v>
      </c>
      <c r="S41" s="12">
        <v>0</v>
      </c>
      <c r="T41" s="12">
        <v>0</v>
      </c>
    </row>
    <row r="42" spans="2:20" ht="13.5" thickBot="1">
      <c r="B42" s="16" t="s">
        <v>94</v>
      </c>
      <c r="C42" s="17" t="s">
        <v>95</v>
      </c>
      <c r="D42" s="12" t="s">
        <v>53</v>
      </c>
      <c r="E42" s="3">
        <v>0</v>
      </c>
      <c r="F42" s="3">
        <v>0</v>
      </c>
      <c r="G42" s="3">
        <v>0</v>
      </c>
      <c r="H42" s="12">
        <v>0</v>
      </c>
      <c r="I42" s="12" t="s">
        <v>93</v>
      </c>
      <c r="J42" s="12" t="s">
        <v>93</v>
      </c>
      <c r="K42" s="12">
        <v>0</v>
      </c>
      <c r="L42" s="12">
        <v>0</v>
      </c>
      <c r="M42" s="12" t="s">
        <v>93</v>
      </c>
      <c r="N42" s="12" t="s">
        <v>93</v>
      </c>
      <c r="O42" s="12">
        <v>0</v>
      </c>
      <c r="P42" s="448">
        <f t="shared" si="2"/>
        <v>0</v>
      </c>
      <c r="Q42" s="12" t="s">
        <v>93</v>
      </c>
      <c r="R42" s="12" t="s">
        <v>93</v>
      </c>
      <c r="S42" s="12">
        <v>0</v>
      </c>
      <c r="T42" s="12">
        <v>0</v>
      </c>
    </row>
    <row r="43" spans="2:20" ht="13.5" thickBot="1">
      <c r="B43" s="6" t="s">
        <v>96</v>
      </c>
      <c r="C43" s="5" t="s">
        <v>97</v>
      </c>
      <c r="D43" s="3" t="s">
        <v>53</v>
      </c>
      <c r="E43" s="3">
        <v>0</v>
      </c>
      <c r="F43" s="3">
        <v>0</v>
      </c>
      <c r="G43" s="3">
        <v>0</v>
      </c>
      <c r="H43" s="3">
        <v>0</v>
      </c>
      <c r="I43" s="3" t="s">
        <v>93</v>
      </c>
      <c r="J43" s="3" t="s">
        <v>93</v>
      </c>
      <c r="K43" s="3">
        <v>0</v>
      </c>
      <c r="L43" s="3">
        <v>0</v>
      </c>
      <c r="M43" s="3" t="s">
        <v>93</v>
      </c>
      <c r="N43" s="3" t="s">
        <v>93</v>
      </c>
      <c r="O43" s="3">
        <v>0</v>
      </c>
      <c r="P43" s="448">
        <f t="shared" si="2"/>
        <v>0</v>
      </c>
      <c r="Q43" s="3" t="s">
        <v>93</v>
      </c>
      <c r="R43" s="3" t="s">
        <v>93</v>
      </c>
      <c r="S43" s="3">
        <v>0</v>
      </c>
      <c r="T43" s="3">
        <v>0</v>
      </c>
    </row>
    <row r="44" spans="2:20" ht="26.25" thickBot="1">
      <c r="B44" s="6" t="s">
        <v>98</v>
      </c>
      <c r="C44" s="5" t="s">
        <v>99</v>
      </c>
      <c r="D44" s="3" t="s">
        <v>53</v>
      </c>
      <c r="E44" s="3">
        <v>0</v>
      </c>
      <c r="F44" s="3">
        <v>0</v>
      </c>
      <c r="G44" s="3">
        <v>0</v>
      </c>
      <c r="H44" s="3">
        <v>0</v>
      </c>
      <c r="I44" s="3" t="s">
        <v>93</v>
      </c>
      <c r="J44" s="3" t="s">
        <v>93</v>
      </c>
      <c r="K44" s="3">
        <v>0</v>
      </c>
      <c r="L44" s="3">
        <v>0</v>
      </c>
      <c r="M44" s="3" t="s">
        <v>93</v>
      </c>
      <c r="N44" s="3" t="s">
        <v>93</v>
      </c>
      <c r="O44" s="3">
        <v>0</v>
      </c>
      <c r="P44" s="448">
        <f t="shared" si="2"/>
        <v>0</v>
      </c>
      <c r="Q44" s="3" t="s">
        <v>93</v>
      </c>
      <c r="R44" s="3" t="s">
        <v>93</v>
      </c>
      <c r="S44" s="3">
        <v>0</v>
      </c>
      <c r="T44" s="3">
        <v>0</v>
      </c>
    </row>
    <row r="45" spans="2:20" ht="26.25" thickBot="1">
      <c r="B45" s="6" t="s">
        <v>100</v>
      </c>
      <c r="C45" s="5" t="s">
        <v>101</v>
      </c>
      <c r="D45" s="3" t="s">
        <v>53</v>
      </c>
      <c r="E45" s="3">
        <v>0</v>
      </c>
      <c r="F45" s="3">
        <v>0</v>
      </c>
      <c r="G45" s="3">
        <v>0</v>
      </c>
      <c r="H45" s="3">
        <v>0</v>
      </c>
      <c r="I45" s="3" t="s">
        <v>93</v>
      </c>
      <c r="J45" s="3" t="s">
        <v>93</v>
      </c>
      <c r="K45" s="3">
        <v>0</v>
      </c>
      <c r="L45" s="3">
        <v>0</v>
      </c>
      <c r="M45" s="3" t="s">
        <v>93</v>
      </c>
      <c r="N45" s="3" t="s">
        <v>93</v>
      </c>
      <c r="O45" s="3">
        <v>0</v>
      </c>
      <c r="P45" s="448">
        <f t="shared" si="2"/>
        <v>0</v>
      </c>
      <c r="Q45" s="3" t="s">
        <v>93</v>
      </c>
      <c r="R45" s="3" t="s">
        <v>93</v>
      </c>
      <c r="S45" s="3">
        <v>0</v>
      </c>
      <c r="T45" s="3">
        <v>0</v>
      </c>
    </row>
    <row r="46" spans="2:20" ht="39" thickBot="1">
      <c r="B46" s="449">
        <v>8</v>
      </c>
      <c r="C46" s="527" t="s">
        <v>102</v>
      </c>
      <c r="D46" s="447" t="s">
        <v>53</v>
      </c>
      <c r="E46" s="447">
        <v>0</v>
      </c>
      <c r="F46" s="447">
        <v>0</v>
      </c>
      <c r="G46" s="447">
        <v>0</v>
      </c>
      <c r="H46" s="448">
        <f>H39</f>
        <v>5840.3711559459189</v>
      </c>
      <c r="I46" s="448">
        <f t="shared" ref="I46:O46" si="7">I39</f>
        <v>0</v>
      </c>
      <c r="J46" s="448">
        <f t="shared" si="7"/>
        <v>0</v>
      </c>
      <c r="K46" s="448">
        <f t="shared" si="7"/>
        <v>0</v>
      </c>
      <c r="L46" s="448">
        <f t="shared" si="7"/>
        <v>0</v>
      </c>
      <c r="M46" s="448">
        <f t="shared" si="7"/>
        <v>0</v>
      </c>
      <c r="N46" s="448">
        <f t="shared" si="7"/>
        <v>0</v>
      </c>
      <c r="O46" s="448">
        <f t="shared" si="7"/>
        <v>9271.0399999999991</v>
      </c>
      <c r="P46" s="448">
        <f t="shared" si="2"/>
        <v>5840.3711559459189</v>
      </c>
      <c r="Q46" s="447">
        <v>0</v>
      </c>
      <c r="R46" s="447">
        <v>0</v>
      </c>
      <c r="S46" s="447">
        <v>0</v>
      </c>
      <c r="T46" s="447">
        <v>0</v>
      </c>
    </row>
    <row r="47" spans="2:20" ht="26.25" thickBot="1">
      <c r="B47" s="6">
        <v>9</v>
      </c>
      <c r="C47" s="5" t="s">
        <v>103</v>
      </c>
      <c r="D47" s="3" t="s">
        <v>104</v>
      </c>
      <c r="E47" s="3">
        <v>0</v>
      </c>
      <c r="F47" s="3">
        <v>0</v>
      </c>
      <c r="G47" s="3">
        <v>0</v>
      </c>
      <c r="H47" s="14">
        <f>H46/H49*1000</f>
        <v>1815.9454616517583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1362.87</v>
      </c>
      <c r="P47" s="448">
        <f t="shared" si="2"/>
        <v>1815.9454616517583</v>
      </c>
      <c r="Q47" s="3">
        <v>0</v>
      </c>
      <c r="R47" s="3">
        <v>0</v>
      </c>
      <c r="S47" s="3">
        <v>0</v>
      </c>
      <c r="T47" s="3">
        <v>0</v>
      </c>
    </row>
    <row r="48" spans="2:20" ht="26.25" thickBot="1">
      <c r="B48" s="6">
        <v>10</v>
      </c>
      <c r="C48" s="5" t="s">
        <v>105</v>
      </c>
      <c r="D48" s="3" t="s">
        <v>22</v>
      </c>
      <c r="E48" s="3">
        <v>0</v>
      </c>
      <c r="F48" s="3">
        <v>0</v>
      </c>
      <c r="G48" s="3">
        <v>0</v>
      </c>
      <c r="H48" s="3">
        <v>3124.61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6802.59</v>
      </c>
      <c r="P48" s="448">
        <f t="shared" si="2"/>
        <v>3124.61</v>
      </c>
      <c r="Q48" s="3">
        <v>0</v>
      </c>
      <c r="R48" s="3">
        <v>0</v>
      </c>
      <c r="S48" s="3">
        <v>0</v>
      </c>
      <c r="T48" s="3">
        <v>0</v>
      </c>
    </row>
    <row r="49" spans="2:20" ht="39" thickBot="1">
      <c r="B49" s="18">
        <v>11</v>
      </c>
      <c r="C49" s="529" t="s">
        <v>106</v>
      </c>
      <c r="D49" s="3" t="s">
        <v>22</v>
      </c>
      <c r="E49" s="3">
        <v>0</v>
      </c>
      <c r="F49" s="3">
        <v>0</v>
      </c>
      <c r="G49" s="3">
        <v>0</v>
      </c>
      <c r="H49" s="3">
        <v>3216.16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6871.3</v>
      </c>
      <c r="P49" s="448">
        <f t="shared" si="2"/>
        <v>3216.16</v>
      </c>
      <c r="Q49" s="3">
        <v>0</v>
      </c>
      <c r="R49" s="3">
        <v>0</v>
      </c>
      <c r="S49" s="3">
        <v>0</v>
      </c>
      <c r="T49" s="3">
        <v>0</v>
      </c>
    </row>
    <row r="50" spans="2:20" ht="51.75" thickBot="1">
      <c r="B50" s="530">
        <v>12</v>
      </c>
      <c r="C50" s="7" t="s">
        <v>107</v>
      </c>
      <c r="D50" s="3" t="s">
        <v>108</v>
      </c>
      <c r="E50" s="3">
        <v>0</v>
      </c>
      <c r="F50" s="3">
        <v>0</v>
      </c>
      <c r="G50" s="3">
        <v>0</v>
      </c>
      <c r="H50" s="14">
        <f>H51*H49/1000</f>
        <v>512.17347999999993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1090.97</v>
      </c>
      <c r="P50" s="448">
        <f t="shared" si="2"/>
        <v>512.17347999999993</v>
      </c>
      <c r="Q50" s="3">
        <v>0</v>
      </c>
      <c r="R50" s="3">
        <v>0</v>
      </c>
      <c r="S50" s="3">
        <v>0</v>
      </c>
      <c r="T50" s="3">
        <v>0</v>
      </c>
    </row>
    <row r="51" spans="2:20" ht="51.75" thickBot="1">
      <c r="B51" s="530">
        <v>13</v>
      </c>
      <c r="C51" s="7" t="s">
        <v>109</v>
      </c>
      <c r="D51" s="3" t="s">
        <v>110</v>
      </c>
      <c r="E51" s="3">
        <v>0</v>
      </c>
      <c r="F51" s="3">
        <v>0</v>
      </c>
      <c r="G51" s="3">
        <v>0</v>
      </c>
      <c r="H51" s="14">
        <v>159.25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158.77000000000001</v>
      </c>
      <c r="P51" s="448">
        <f t="shared" si="2"/>
        <v>159.25</v>
      </c>
      <c r="Q51" s="3">
        <v>0</v>
      </c>
      <c r="R51" s="3">
        <v>0</v>
      </c>
      <c r="S51" s="3">
        <v>0</v>
      </c>
      <c r="T51" s="3">
        <v>0</v>
      </c>
    </row>
    <row r="52" spans="2:20" ht="26.25" thickBot="1">
      <c r="B52" s="530">
        <v>14</v>
      </c>
      <c r="C52" s="7" t="s">
        <v>111</v>
      </c>
      <c r="D52" s="3" t="s">
        <v>112</v>
      </c>
      <c r="E52" s="3">
        <v>0</v>
      </c>
      <c r="F52" s="3">
        <v>0</v>
      </c>
      <c r="G52" s="3">
        <v>0</v>
      </c>
      <c r="H52" s="14">
        <f>H15/H50*1000</f>
        <v>5905.8099158121204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7512.96</v>
      </c>
      <c r="P52" s="448">
        <f t="shared" si="2"/>
        <v>5905.8099158121204</v>
      </c>
      <c r="Q52" s="3">
        <v>0</v>
      </c>
      <c r="R52" s="3">
        <v>0</v>
      </c>
      <c r="S52" s="3">
        <v>0</v>
      </c>
      <c r="T52" s="3">
        <v>0</v>
      </c>
    </row>
    <row r="53" spans="2:20" ht="51.75" thickBot="1">
      <c r="B53" s="530">
        <v>15</v>
      </c>
      <c r="C53" s="7" t="s">
        <v>113</v>
      </c>
      <c r="D53" s="3" t="s">
        <v>114</v>
      </c>
      <c r="E53" s="3">
        <v>0</v>
      </c>
      <c r="F53" s="3">
        <v>0</v>
      </c>
      <c r="G53" s="3">
        <v>0</v>
      </c>
      <c r="H53" s="14">
        <f>H50/1.15</f>
        <v>445.36824347826087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948.67</v>
      </c>
      <c r="P53" s="448">
        <f t="shared" si="2"/>
        <v>445.36824347826087</v>
      </c>
      <c r="Q53" s="3">
        <v>0</v>
      </c>
      <c r="R53" s="3">
        <v>0</v>
      </c>
      <c r="S53" s="3">
        <v>0</v>
      </c>
      <c r="T53" s="3">
        <v>0</v>
      </c>
    </row>
    <row r="54" spans="2:20" ht="51.75" thickBot="1">
      <c r="B54" s="530">
        <v>16</v>
      </c>
      <c r="C54" s="7" t="s">
        <v>115</v>
      </c>
      <c r="D54" s="3" t="s">
        <v>108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448">
        <f t="shared" si="2"/>
        <v>0</v>
      </c>
      <c r="Q54" s="3">
        <v>0</v>
      </c>
      <c r="R54" s="3">
        <v>0</v>
      </c>
      <c r="S54" s="3">
        <v>0</v>
      </c>
      <c r="T54" s="3">
        <v>0</v>
      </c>
    </row>
    <row r="55" spans="2:20" ht="51.75" thickBot="1">
      <c r="B55" s="530">
        <v>17</v>
      </c>
      <c r="C55" s="7" t="s">
        <v>116</v>
      </c>
      <c r="D55" s="3" t="s">
        <v>108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448">
        <f t="shared" si="2"/>
        <v>0</v>
      </c>
      <c r="Q55" s="3">
        <v>0</v>
      </c>
      <c r="R55" s="3">
        <v>0</v>
      </c>
      <c r="S55" s="3">
        <v>0</v>
      </c>
      <c r="T55" s="3">
        <v>0</v>
      </c>
    </row>
    <row r="56" spans="2:20" ht="51.75" thickBot="1">
      <c r="B56" s="530">
        <v>18</v>
      </c>
      <c r="C56" s="7" t="s">
        <v>117</v>
      </c>
      <c r="D56" s="3" t="s">
        <v>118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448">
        <f t="shared" si="2"/>
        <v>0</v>
      </c>
      <c r="Q56" s="3">
        <v>0</v>
      </c>
      <c r="R56" s="3">
        <v>0</v>
      </c>
      <c r="S56" s="3">
        <v>0</v>
      </c>
      <c r="T56" s="3">
        <v>0</v>
      </c>
    </row>
    <row r="57" spans="2:20" ht="27.75" thickBot="1">
      <c r="B57" s="530">
        <v>19</v>
      </c>
      <c r="C57" s="7" t="s">
        <v>119</v>
      </c>
      <c r="D57" s="3" t="s">
        <v>120</v>
      </c>
      <c r="E57" s="3">
        <v>0</v>
      </c>
      <c r="F57" s="3">
        <v>0</v>
      </c>
      <c r="G57" s="3">
        <v>0</v>
      </c>
      <c r="H57" s="3">
        <v>8639.9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448">
        <f t="shared" si="2"/>
        <v>8639.9</v>
      </c>
      <c r="Q57" s="3">
        <v>0</v>
      </c>
      <c r="R57" s="3">
        <v>0</v>
      </c>
      <c r="S57" s="3">
        <v>0</v>
      </c>
      <c r="T57" s="3">
        <v>0</v>
      </c>
    </row>
    <row r="58" spans="2:20" ht="26.25" thickBot="1">
      <c r="B58" s="530">
        <v>20</v>
      </c>
      <c r="C58" s="7" t="s">
        <v>121</v>
      </c>
      <c r="D58" s="3" t="s">
        <v>122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448">
        <f t="shared" si="2"/>
        <v>0</v>
      </c>
      <c r="Q58" s="3">
        <v>0</v>
      </c>
      <c r="R58" s="3">
        <v>0</v>
      </c>
      <c r="S58" s="3">
        <v>0</v>
      </c>
      <c r="T58" s="3">
        <v>0</v>
      </c>
    </row>
    <row r="59" spans="2:20" ht="26.25" thickBot="1">
      <c r="B59" s="530">
        <v>21</v>
      </c>
      <c r="C59" s="7" t="s">
        <v>123</v>
      </c>
      <c r="D59" s="3" t="s">
        <v>122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448">
        <f t="shared" si="2"/>
        <v>0</v>
      </c>
      <c r="Q59" s="3">
        <v>0</v>
      </c>
      <c r="R59" s="3">
        <v>0</v>
      </c>
      <c r="S59" s="3">
        <v>0</v>
      </c>
      <c r="T59" s="3">
        <v>0</v>
      </c>
    </row>
    <row r="60" spans="2:20" ht="26.25" thickBot="1">
      <c r="B60" s="530">
        <v>22</v>
      </c>
      <c r="C60" s="7" t="s">
        <v>124</v>
      </c>
      <c r="D60" s="3" t="s">
        <v>125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448">
        <f t="shared" si="2"/>
        <v>0</v>
      </c>
      <c r="Q60" s="3">
        <v>0</v>
      </c>
      <c r="R60" s="3">
        <v>0</v>
      </c>
      <c r="S60" s="3">
        <v>0</v>
      </c>
      <c r="T60" s="3">
        <v>0</v>
      </c>
    </row>
    <row r="61" spans="2:20" ht="26.25" thickBot="1">
      <c r="B61" s="530">
        <v>23</v>
      </c>
      <c r="C61" s="7" t="s">
        <v>126</v>
      </c>
      <c r="D61" s="3" t="s">
        <v>127</v>
      </c>
      <c r="E61" s="3">
        <v>0</v>
      </c>
      <c r="F61" s="3">
        <v>0</v>
      </c>
      <c r="G61" s="3">
        <v>0</v>
      </c>
      <c r="H61" s="3">
        <v>1.1499999999999999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1.1499999999999999</v>
      </c>
      <c r="P61" s="448">
        <f t="shared" si="2"/>
        <v>1.1499999999999999</v>
      </c>
      <c r="Q61" s="3">
        <v>0</v>
      </c>
      <c r="R61" s="3">
        <v>0</v>
      </c>
      <c r="S61" s="3">
        <v>0</v>
      </c>
      <c r="T61" s="3">
        <v>0</v>
      </c>
    </row>
    <row r="62" spans="2:20" ht="26.25" thickBot="1">
      <c r="B62" s="530">
        <v>24</v>
      </c>
      <c r="C62" s="7" t="s">
        <v>128</v>
      </c>
      <c r="D62" s="3" t="s">
        <v>129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448">
        <f t="shared" si="2"/>
        <v>0</v>
      </c>
      <c r="Q62" s="3">
        <v>0</v>
      </c>
      <c r="R62" s="3">
        <v>0</v>
      </c>
      <c r="S62" s="3">
        <v>0</v>
      </c>
      <c r="T62" s="3">
        <v>0</v>
      </c>
    </row>
    <row r="63" spans="2:20" ht="26.25" thickBot="1">
      <c r="B63" s="531">
        <v>25</v>
      </c>
      <c r="C63" s="9" t="s">
        <v>130</v>
      </c>
      <c r="D63" s="10" t="s">
        <v>129</v>
      </c>
      <c r="E63" s="3">
        <v>0</v>
      </c>
      <c r="F63" s="3">
        <v>0</v>
      </c>
      <c r="G63" s="3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3">
        <v>0</v>
      </c>
      <c r="N63" s="3">
        <v>0</v>
      </c>
      <c r="O63" s="3">
        <v>0</v>
      </c>
      <c r="P63" s="448">
        <f t="shared" si="2"/>
        <v>0</v>
      </c>
      <c r="Q63" s="10">
        <v>0</v>
      </c>
      <c r="R63" s="10">
        <v>0</v>
      </c>
      <c r="S63" s="10">
        <v>0</v>
      </c>
      <c r="T63" s="10">
        <v>0</v>
      </c>
    </row>
    <row r="64" spans="2:20" ht="26.25" thickBot="1">
      <c r="B64" s="532">
        <v>26</v>
      </c>
      <c r="C64" s="11" t="s">
        <v>131</v>
      </c>
      <c r="D64" s="12" t="s">
        <v>132</v>
      </c>
      <c r="E64" s="3">
        <v>0</v>
      </c>
      <c r="F64" s="3">
        <v>0</v>
      </c>
      <c r="G64" s="3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3">
        <v>0</v>
      </c>
      <c r="N64" s="3">
        <v>0</v>
      </c>
      <c r="O64" s="3">
        <v>0</v>
      </c>
      <c r="P64" s="448">
        <f t="shared" si="2"/>
        <v>0</v>
      </c>
      <c r="Q64" s="12">
        <v>0</v>
      </c>
      <c r="R64" s="12">
        <v>0</v>
      </c>
      <c r="S64" s="12">
        <v>0</v>
      </c>
      <c r="T64" s="12">
        <v>0</v>
      </c>
    </row>
    <row r="65" spans="2:20" ht="26.25" thickBot="1">
      <c r="B65" s="532" t="s">
        <v>133</v>
      </c>
      <c r="C65" s="11" t="s">
        <v>134</v>
      </c>
      <c r="D65" s="12" t="s">
        <v>22</v>
      </c>
      <c r="E65" s="3">
        <v>0</v>
      </c>
      <c r="F65" s="3">
        <v>0</v>
      </c>
      <c r="G65" s="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3">
        <v>0</v>
      </c>
      <c r="N65" s="3">
        <v>0</v>
      </c>
      <c r="O65" s="3">
        <v>0</v>
      </c>
      <c r="P65" s="448">
        <f t="shared" si="2"/>
        <v>0</v>
      </c>
      <c r="Q65" s="12">
        <v>0</v>
      </c>
      <c r="R65" s="12">
        <v>0</v>
      </c>
      <c r="S65" s="12">
        <v>0</v>
      </c>
      <c r="T65" s="12">
        <v>0</v>
      </c>
    </row>
    <row r="66" spans="2:20" ht="26.25" thickBot="1">
      <c r="B66" s="530">
        <v>28</v>
      </c>
      <c r="C66" s="21" t="s">
        <v>135</v>
      </c>
      <c r="D66" s="3" t="s">
        <v>104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448">
        <f t="shared" si="2"/>
        <v>0</v>
      </c>
      <c r="Q66" s="3">
        <v>0</v>
      </c>
      <c r="R66" s="3">
        <v>0</v>
      </c>
      <c r="S66" s="3">
        <v>0</v>
      </c>
      <c r="T66" s="3">
        <v>0</v>
      </c>
    </row>
    <row r="67" spans="2:20" ht="51.75" thickBot="1">
      <c r="B67" s="530">
        <v>29</v>
      </c>
      <c r="C67" s="7" t="s">
        <v>136</v>
      </c>
      <c r="D67" s="3" t="s">
        <v>22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448">
        <f t="shared" si="2"/>
        <v>0</v>
      </c>
      <c r="Q67" s="3">
        <v>0</v>
      </c>
      <c r="R67" s="3">
        <v>0</v>
      </c>
      <c r="S67" s="3">
        <v>0</v>
      </c>
      <c r="T67" s="3">
        <v>0</v>
      </c>
    </row>
    <row r="68" spans="2:20" ht="51.75" thickBot="1">
      <c r="B68" s="530">
        <v>30</v>
      </c>
      <c r="C68" s="7" t="s">
        <v>137</v>
      </c>
      <c r="D68" s="3" t="s">
        <v>104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448">
        <f t="shared" si="2"/>
        <v>0</v>
      </c>
      <c r="Q68" s="3">
        <v>0</v>
      </c>
      <c r="R68" s="3">
        <v>0</v>
      </c>
      <c r="S68" s="3">
        <v>0</v>
      </c>
      <c r="T68" s="3">
        <v>0</v>
      </c>
    </row>
    <row r="69" spans="2:20" ht="64.5" thickBot="1">
      <c r="B69" s="530">
        <v>31</v>
      </c>
      <c r="C69" s="7" t="s">
        <v>138</v>
      </c>
      <c r="D69" s="3" t="s">
        <v>139</v>
      </c>
      <c r="E69" s="3">
        <v>0</v>
      </c>
      <c r="F69" s="3">
        <v>0</v>
      </c>
      <c r="G69" s="3">
        <v>0</v>
      </c>
      <c r="H69" s="3">
        <v>19.7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20.99</v>
      </c>
      <c r="P69" s="448">
        <f t="shared" si="2"/>
        <v>19.7</v>
      </c>
      <c r="Q69" s="3">
        <v>0</v>
      </c>
      <c r="R69" s="3">
        <v>0</v>
      </c>
      <c r="S69" s="3">
        <v>0</v>
      </c>
      <c r="T69" s="3">
        <v>0</v>
      </c>
    </row>
    <row r="70" spans="2:20" ht="26.25" thickBot="1">
      <c r="B70" s="530">
        <v>32</v>
      </c>
      <c r="C70" s="7" t="s">
        <v>140</v>
      </c>
      <c r="D70" s="3" t="s">
        <v>141</v>
      </c>
      <c r="E70" s="3">
        <v>0</v>
      </c>
      <c r="F70" s="3">
        <v>0</v>
      </c>
      <c r="G70" s="3">
        <v>0</v>
      </c>
      <c r="H70" s="3">
        <v>267.74599999999998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251.57</v>
      </c>
      <c r="P70" s="448">
        <f t="shared" si="2"/>
        <v>267.74599999999998</v>
      </c>
      <c r="Q70" s="3">
        <v>0</v>
      </c>
      <c r="R70" s="3">
        <v>0</v>
      </c>
      <c r="S70" s="3">
        <v>0</v>
      </c>
      <c r="T70" s="3">
        <v>0</v>
      </c>
    </row>
    <row r="71" spans="2:20" ht="39" thickBot="1">
      <c r="B71" s="530">
        <v>33</v>
      </c>
      <c r="C71" s="7" t="s">
        <v>142</v>
      </c>
      <c r="D71" s="3" t="s">
        <v>32</v>
      </c>
      <c r="E71" s="3">
        <v>0</v>
      </c>
      <c r="F71" s="3">
        <v>0</v>
      </c>
      <c r="G71" s="3">
        <v>0</v>
      </c>
      <c r="H71" s="3">
        <v>4.51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4.3</v>
      </c>
      <c r="P71" s="448">
        <f t="shared" si="2"/>
        <v>4.51</v>
      </c>
      <c r="Q71" s="3">
        <v>0</v>
      </c>
      <c r="R71" s="3">
        <v>0</v>
      </c>
      <c r="S71" s="3">
        <v>0</v>
      </c>
      <c r="T71" s="3">
        <v>0</v>
      </c>
    </row>
    <row r="72" spans="2:20">
      <c r="B72" s="685"/>
      <c r="C72" s="685"/>
      <c r="D72" s="685"/>
      <c r="E72" s="685"/>
      <c r="F72" s="685"/>
      <c r="G72" s="685"/>
      <c r="H72" s="685"/>
      <c r="I72" s="685"/>
      <c r="J72" s="685"/>
      <c r="K72" s="685"/>
      <c r="L72" s="685"/>
      <c r="M72" s="685"/>
      <c r="N72" s="685"/>
      <c r="O72" s="685"/>
      <c r="P72" s="685"/>
      <c r="Q72" s="685"/>
      <c r="R72" s="685"/>
      <c r="S72" s="685"/>
      <c r="T72" s="685"/>
    </row>
    <row r="73" spans="2:20" ht="14.25" customHeight="1">
      <c r="B73" s="686" t="s">
        <v>143</v>
      </c>
      <c r="C73" s="686"/>
      <c r="D73" s="686"/>
      <c r="E73" s="686"/>
      <c r="F73" s="686"/>
      <c r="G73" s="686"/>
      <c r="H73" s="686"/>
      <c r="I73" s="686"/>
      <c r="J73" s="686"/>
      <c r="K73" s="686"/>
      <c r="L73" s="686"/>
      <c r="M73" s="686"/>
      <c r="N73" s="686"/>
      <c r="O73" s="686"/>
      <c r="P73" s="686"/>
      <c r="Q73" s="686"/>
      <c r="R73" s="686"/>
      <c r="S73" s="686"/>
      <c r="T73" s="686"/>
    </row>
    <row r="74" spans="2:20">
      <c r="B74" s="558"/>
      <c r="C74" s="558"/>
      <c r="D74" s="558"/>
      <c r="E74" s="558"/>
      <c r="F74" s="558"/>
      <c r="G74" s="558"/>
      <c r="H74" s="558"/>
      <c r="I74" s="558"/>
      <c r="J74" s="558"/>
      <c r="K74" s="558"/>
      <c r="L74" s="558"/>
      <c r="M74" s="558"/>
      <c r="N74" s="558"/>
      <c r="O74" s="558"/>
      <c r="P74" s="558"/>
      <c r="Q74" s="558"/>
      <c r="R74" s="558"/>
      <c r="S74" s="558"/>
      <c r="T74" s="558"/>
    </row>
    <row r="75" spans="2:20" ht="35.25" customHeight="1">
      <c r="B75" s="556" t="s">
        <v>388</v>
      </c>
      <c r="C75" s="556"/>
      <c r="D75" s="556"/>
      <c r="E75" s="556"/>
      <c r="F75" s="556"/>
      <c r="G75" s="556"/>
      <c r="H75" s="556"/>
      <c r="I75" s="556"/>
      <c r="J75" s="556"/>
      <c r="K75" s="556"/>
      <c r="L75" s="556"/>
      <c r="M75" s="556"/>
      <c r="N75" s="556"/>
      <c r="O75" s="556"/>
      <c r="P75" s="556"/>
      <c r="Q75" s="556"/>
      <c r="R75" s="556"/>
      <c r="S75" s="556"/>
      <c r="T75" s="556"/>
    </row>
    <row r="76" spans="2:20">
      <c r="B76" s="558"/>
      <c r="C76" s="558"/>
      <c r="D76" s="558"/>
      <c r="E76" s="558"/>
      <c r="F76" s="558"/>
      <c r="G76" s="558"/>
      <c r="H76" s="558"/>
      <c r="I76" s="558"/>
      <c r="J76" s="558"/>
      <c r="K76" s="558"/>
      <c r="L76" s="558"/>
      <c r="M76" s="558"/>
      <c r="N76" s="558"/>
      <c r="O76" s="558"/>
      <c r="P76" s="558"/>
      <c r="Q76" s="558"/>
      <c r="R76" s="558"/>
      <c r="S76" s="558"/>
      <c r="T76" s="558"/>
    </row>
    <row r="77" spans="2:20" ht="12.75" customHeight="1">
      <c r="B77" s="556" t="s">
        <v>6</v>
      </c>
      <c r="C77" s="556"/>
      <c r="D77" s="556"/>
      <c r="E77" s="556"/>
      <c r="F77" s="556"/>
      <c r="G77" s="556"/>
      <c r="H77" s="556"/>
      <c r="I77" s="556"/>
      <c r="J77" s="556"/>
      <c r="K77" s="556"/>
      <c r="L77" s="556"/>
      <c r="M77" s="556"/>
      <c r="N77" s="556"/>
      <c r="O77" s="556"/>
      <c r="P77" s="556"/>
      <c r="Q77" s="556"/>
      <c r="R77" s="556"/>
      <c r="S77" s="556"/>
      <c r="T77" s="556"/>
    </row>
    <row r="78" spans="2:20">
      <c r="B78" s="683"/>
      <c r="C78" s="683"/>
      <c r="D78" s="683"/>
      <c r="E78" s="683"/>
      <c r="F78" s="683"/>
      <c r="G78" s="683"/>
      <c r="H78" s="683"/>
      <c r="I78" s="683"/>
      <c r="J78" s="683"/>
      <c r="K78" s="683"/>
      <c r="L78" s="683"/>
      <c r="M78" s="683"/>
      <c r="N78" s="683"/>
      <c r="O78" s="683"/>
      <c r="P78" s="683"/>
      <c r="Q78" s="683"/>
      <c r="R78" s="683"/>
      <c r="S78" s="683"/>
      <c r="T78" s="683"/>
    </row>
  </sheetData>
  <sheetProtection selectLockedCells="1" selectUnlockedCells="1"/>
  <mergeCells count="34">
    <mergeCell ref="G7:G11"/>
    <mergeCell ref="B77:T77"/>
    <mergeCell ref="B2:T2"/>
    <mergeCell ref="B3:T3"/>
    <mergeCell ref="B4:T4"/>
    <mergeCell ref="B5:T5"/>
    <mergeCell ref="B6:B11"/>
    <mergeCell ref="C6:C11"/>
    <mergeCell ref="D6:D11"/>
    <mergeCell ref="E6:H6"/>
    <mergeCell ref="I6:L6"/>
    <mergeCell ref="M6:P6"/>
    <mergeCell ref="Q6:T6"/>
    <mergeCell ref="E7:E11"/>
    <mergeCell ref="S7:S11"/>
    <mergeCell ref="J7:J11"/>
    <mergeCell ref="H7:H11"/>
    <mergeCell ref="F7:F11"/>
    <mergeCell ref="B78:T78"/>
    <mergeCell ref="T7:T11"/>
    <mergeCell ref="B72:T72"/>
    <mergeCell ref="B73:T73"/>
    <mergeCell ref="B74:T74"/>
    <mergeCell ref="B75:T75"/>
    <mergeCell ref="B76:T76"/>
    <mergeCell ref="N7:N11"/>
    <mergeCell ref="O7:O11"/>
    <mergeCell ref="P7:P11"/>
    <mergeCell ref="Q7:Q11"/>
    <mergeCell ref="R7:R11"/>
    <mergeCell ref="I7:I11"/>
    <mergeCell ref="M7:M11"/>
    <mergeCell ref="K7:K11"/>
    <mergeCell ref="L7:L11"/>
  </mergeCells>
  <pageMargins left="0" right="0" top="0" bottom="0" header="0" footer="0"/>
  <pageSetup paperSize="9" scale="75" firstPageNumber="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3:F33"/>
  <sheetViews>
    <sheetView workbookViewId="0">
      <selection activeCell="G15" sqref="G15"/>
    </sheetView>
  </sheetViews>
  <sheetFormatPr defaultRowHeight="12.75"/>
  <cols>
    <col min="1" max="1" width="27.42578125" customWidth="1"/>
    <col min="2" max="2" width="11.28515625" customWidth="1"/>
    <col min="3" max="3" width="12.5703125" customWidth="1"/>
    <col min="4" max="5" width="12.140625" customWidth="1"/>
    <col min="6" max="6" width="13.5703125" customWidth="1"/>
    <col min="7" max="7" width="13.7109375" customWidth="1"/>
    <col min="8" max="8" width="11.28515625" customWidth="1"/>
  </cols>
  <sheetData>
    <row r="3" spans="1:6" ht="15.75">
      <c r="A3" s="673" t="s">
        <v>290</v>
      </c>
      <c r="B3" s="673"/>
      <c r="C3" s="673"/>
      <c r="D3" s="673"/>
      <c r="E3" s="673"/>
      <c r="F3" s="673"/>
    </row>
    <row r="4" spans="1:6" ht="15.75">
      <c r="A4" s="25"/>
      <c r="B4" s="25"/>
      <c r="C4" s="25"/>
      <c r="D4" s="25"/>
      <c r="E4" s="25"/>
      <c r="F4" s="25"/>
    </row>
    <row r="5" spans="1:6" ht="15.75">
      <c r="A5" s="25" t="s">
        <v>259</v>
      </c>
      <c r="B5" s="25">
        <v>3723</v>
      </c>
      <c r="C5" s="25" t="s">
        <v>4</v>
      </c>
      <c r="D5" s="25"/>
      <c r="E5" s="25"/>
      <c r="F5" s="25"/>
    </row>
    <row r="6" spans="1:6" ht="15.75">
      <c r="A6" s="25"/>
      <c r="B6" s="25"/>
      <c r="C6" s="25"/>
      <c r="D6" s="25"/>
      <c r="E6" s="25"/>
      <c r="F6" s="25"/>
    </row>
    <row r="7" spans="1:6" ht="78.75">
      <c r="A7" s="34" t="s">
        <v>257</v>
      </c>
      <c r="B7" s="33" t="s">
        <v>260</v>
      </c>
      <c r="C7" s="33" t="s">
        <v>293</v>
      </c>
      <c r="D7" s="33" t="s">
        <v>294</v>
      </c>
      <c r="E7" s="33" t="s">
        <v>292</v>
      </c>
      <c r="F7" s="33" t="s">
        <v>295</v>
      </c>
    </row>
    <row r="8" spans="1:6" ht="15.75">
      <c r="A8" s="26" t="s">
        <v>261</v>
      </c>
      <c r="B8" s="26"/>
      <c r="C8" s="48"/>
      <c r="D8" s="48"/>
      <c r="E8" s="48"/>
      <c r="F8" s="48"/>
    </row>
    <row r="9" spans="1:6" ht="15.75">
      <c r="A9" s="48" t="s">
        <v>5</v>
      </c>
      <c r="B9" s="34">
        <v>1</v>
      </c>
      <c r="C9" s="45">
        <v>5605</v>
      </c>
      <c r="D9" s="45">
        <v>4819</v>
      </c>
      <c r="E9" s="45">
        <f>C9+D9</f>
        <v>10424</v>
      </c>
      <c r="F9" s="63">
        <f>E9*12</f>
        <v>125088</v>
      </c>
    </row>
    <row r="10" spans="1:6" ht="15.75">
      <c r="A10" s="48" t="s">
        <v>262</v>
      </c>
      <c r="B10" s="34">
        <v>1</v>
      </c>
      <c r="C10" s="45">
        <v>4680</v>
      </c>
      <c r="D10" s="45">
        <v>3014</v>
      </c>
      <c r="E10" s="45">
        <f t="shared" ref="E10:E13" si="0">C10+D10</f>
        <v>7694</v>
      </c>
      <c r="F10" s="63">
        <f t="shared" ref="F10:F13" si="1">E10*12</f>
        <v>92328</v>
      </c>
    </row>
    <row r="11" spans="1:6" ht="31.5">
      <c r="A11" s="49" t="s">
        <v>297</v>
      </c>
      <c r="B11" s="34">
        <v>1</v>
      </c>
      <c r="C11" s="45">
        <v>3723</v>
      </c>
      <c r="D11" s="45">
        <v>3259.03</v>
      </c>
      <c r="E11" s="45">
        <f t="shared" si="0"/>
        <v>6982.0300000000007</v>
      </c>
      <c r="F11" s="63">
        <f t="shared" si="1"/>
        <v>83784.360000000015</v>
      </c>
    </row>
    <row r="12" spans="1:6" ht="15.75">
      <c r="A12" s="48" t="s">
        <v>264</v>
      </c>
      <c r="B12" s="34">
        <v>1</v>
      </c>
      <c r="C12" s="45">
        <v>4340</v>
      </c>
      <c r="D12" s="45">
        <v>2798</v>
      </c>
      <c r="E12" s="45">
        <f t="shared" si="0"/>
        <v>7138</v>
      </c>
      <c r="F12" s="63">
        <f t="shared" si="1"/>
        <v>85656</v>
      </c>
    </row>
    <row r="13" spans="1:6" ht="15.75">
      <c r="A13" s="48" t="s">
        <v>265</v>
      </c>
      <c r="B13" s="34">
        <v>1</v>
      </c>
      <c r="C13" s="45">
        <v>3723</v>
      </c>
      <c r="D13" s="45">
        <v>2792</v>
      </c>
      <c r="E13" s="45">
        <f t="shared" si="0"/>
        <v>6515</v>
      </c>
      <c r="F13" s="63">
        <f t="shared" si="1"/>
        <v>78180</v>
      </c>
    </row>
    <row r="14" spans="1:6" ht="15.75">
      <c r="A14" s="48" t="s">
        <v>266</v>
      </c>
      <c r="B14" s="41">
        <v>5</v>
      </c>
      <c r="C14" s="47">
        <f>SUM(C9:C13)</f>
        <v>22071</v>
      </c>
      <c r="D14" s="47">
        <f>SUM(D9:D13)</f>
        <v>16682.03</v>
      </c>
      <c r="E14" s="47">
        <f>SUM(E9:E13)</f>
        <v>38753.03</v>
      </c>
      <c r="F14" s="64">
        <f>SUM(F9:F13)</f>
        <v>465036.36</v>
      </c>
    </row>
    <row r="15" spans="1:6" ht="15.75">
      <c r="A15" s="26" t="s">
        <v>267</v>
      </c>
      <c r="B15" s="34"/>
      <c r="C15" s="45"/>
      <c r="D15" s="45"/>
      <c r="E15" s="45"/>
      <c r="F15" s="63"/>
    </row>
    <row r="16" spans="1:6" ht="15.75">
      <c r="A16" s="48" t="s">
        <v>268</v>
      </c>
      <c r="B16" s="34">
        <v>4</v>
      </c>
      <c r="C16" s="45">
        <v>22.41</v>
      </c>
      <c r="D16" s="45"/>
      <c r="E16" s="45">
        <f>F16/6</f>
        <v>18761.651999999998</v>
      </c>
      <c r="F16" s="63">
        <v>112569.912</v>
      </c>
    </row>
    <row r="17" spans="1:6" ht="15.75" hidden="1">
      <c r="A17" s="48" t="s">
        <v>269</v>
      </c>
      <c r="B17" s="34">
        <v>0</v>
      </c>
      <c r="C17" s="45">
        <v>0</v>
      </c>
      <c r="D17" s="45"/>
      <c r="E17" s="45">
        <v>0</v>
      </c>
      <c r="F17" s="63">
        <v>0</v>
      </c>
    </row>
    <row r="18" spans="1:6" ht="15.75" hidden="1">
      <c r="A18" s="48" t="s">
        <v>270</v>
      </c>
      <c r="B18" s="34">
        <v>0</v>
      </c>
      <c r="C18" s="45">
        <v>0</v>
      </c>
      <c r="D18" s="45"/>
      <c r="E18" s="45">
        <v>0</v>
      </c>
      <c r="F18" s="63">
        <v>0</v>
      </c>
    </row>
    <row r="19" spans="1:6" ht="15.75">
      <c r="A19" s="48" t="s">
        <v>266</v>
      </c>
      <c r="B19" s="41">
        <v>4</v>
      </c>
      <c r="C19" s="47">
        <v>22.41</v>
      </c>
      <c r="D19" s="47">
        <v>0</v>
      </c>
      <c r="E19" s="47">
        <f>SUM(E16:E18)</f>
        <v>18761.651999999998</v>
      </c>
      <c r="F19" s="47">
        <f>SUM(F16:F18)</f>
        <v>112569.912</v>
      </c>
    </row>
    <row r="20" spans="1:6" ht="16.5" thickBot="1">
      <c r="A20" s="39" t="s">
        <v>271</v>
      </c>
      <c r="B20" s="42">
        <v>4</v>
      </c>
      <c r="C20" s="65">
        <v>22.41</v>
      </c>
      <c r="D20" s="65">
        <v>0</v>
      </c>
      <c r="E20" s="45">
        <f>F20/6</f>
        <v>18761.651999999998</v>
      </c>
      <c r="F20" s="65">
        <v>112569.912</v>
      </c>
    </row>
    <row r="21" spans="1:6" ht="21.75" customHeight="1" thickBot="1">
      <c r="A21" s="40" t="s">
        <v>1</v>
      </c>
      <c r="B21" s="43">
        <v>9</v>
      </c>
      <c r="C21" s="66">
        <f>C14+F19/12</f>
        <v>31451.826000000001</v>
      </c>
      <c r="D21" s="66">
        <f>D14+D19</f>
        <v>16682.03</v>
      </c>
      <c r="E21" s="66">
        <f>C21+D21</f>
        <v>48133.856</v>
      </c>
      <c r="F21" s="67">
        <f>F14+F19</f>
        <v>577606.272</v>
      </c>
    </row>
    <row r="22" spans="1:6" ht="15.75">
      <c r="A22" s="25"/>
      <c r="B22" s="25"/>
      <c r="C22" s="25"/>
      <c r="D22" s="25"/>
      <c r="E22" s="25"/>
      <c r="F22" s="25"/>
    </row>
    <row r="23" spans="1:6">
      <c r="A23" s="37" t="s">
        <v>285</v>
      </c>
      <c r="B23" s="38"/>
      <c r="C23" s="38"/>
      <c r="D23" s="38"/>
      <c r="E23" s="38"/>
      <c r="F23" s="38"/>
    </row>
    <row r="24" spans="1:6">
      <c r="A24" s="38" t="s">
        <v>286</v>
      </c>
      <c r="B24" s="38"/>
      <c r="C24" s="38"/>
      <c r="D24" s="38" t="s">
        <v>287</v>
      </c>
      <c r="E24" s="38"/>
      <c r="F24" s="38"/>
    </row>
    <row r="25" spans="1:6">
      <c r="A25" s="38"/>
      <c r="B25" s="38"/>
      <c r="C25" s="38"/>
      <c r="D25" s="38" t="s">
        <v>288</v>
      </c>
      <c r="E25" s="38"/>
      <c r="F25" s="38"/>
    </row>
    <row r="26" spans="1:6">
      <c r="A26" s="38"/>
      <c r="B26" s="38"/>
      <c r="C26" s="38"/>
      <c r="D26" s="38" t="s">
        <v>289</v>
      </c>
      <c r="E26" s="38"/>
      <c r="F26" s="38"/>
    </row>
    <row r="27" spans="1:6" ht="15.75">
      <c r="A27" s="25"/>
      <c r="B27" s="25"/>
      <c r="C27" s="25"/>
      <c r="D27" s="25"/>
      <c r="E27" s="25"/>
      <c r="F27" s="25"/>
    </row>
    <row r="28" spans="1:6" ht="15.75">
      <c r="A28" s="25"/>
      <c r="B28" s="25"/>
      <c r="C28" s="25"/>
      <c r="D28" s="25"/>
      <c r="E28" s="25"/>
      <c r="F28" s="25"/>
    </row>
    <row r="29" spans="1:6" ht="15.75">
      <c r="A29" s="25" t="s">
        <v>291</v>
      </c>
      <c r="B29" s="25"/>
      <c r="C29" s="25"/>
      <c r="D29" s="25"/>
      <c r="E29" s="25"/>
      <c r="F29" s="87">
        <v>577606.272</v>
      </c>
    </row>
    <row r="30" spans="1:6" ht="15.75">
      <c r="A30" s="25" t="s">
        <v>298</v>
      </c>
      <c r="B30" s="25"/>
      <c r="C30" s="25"/>
      <c r="D30" s="25"/>
      <c r="E30" s="25"/>
      <c r="F30" s="87">
        <f>F29*22/100</f>
        <v>127073.37983999999</v>
      </c>
    </row>
    <row r="31" spans="1:6" ht="15.75">
      <c r="A31" s="25"/>
      <c r="B31" s="25"/>
      <c r="C31" s="25"/>
      <c r="D31" s="25"/>
      <c r="E31" s="25"/>
      <c r="F31" s="25"/>
    </row>
    <row r="32" spans="1:6" ht="15.75">
      <c r="A32" s="25"/>
      <c r="B32" s="69"/>
      <c r="C32" s="25"/>
      <c r="D32" s="25"/>
      <c r="E32" s="25"/>
      <c r="F32" s="25"/>
    </row>
    <row r="33" spans="1:6" ht="15.75">
      <c r="A33" s="25"/>
      <c r="B33" s="25"/>
      <c r="C33" s="25"/>
      <c r="D33" s="25"/>
      <c r="E33" s="25"/>
      <c r="F33" s="25"/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P40"/>
  <sheetViews>
    <sheetView topLeftCell="A25" workbookViewId="0">
      <selection activeCell="B19" sqref="B19:J19"/>
    </sheetView>
  </sheetViews>
  <sheetFormatPr defaultRowHeight="12.75"/>
  <cols>
    <col min="1" max="1" width="0.7109375" customWidth="1"/>
    <col min="2" max="2" width="3.28515625" customWidth="1"/>
    <col min="8" max="8" width="5.42578125" customWidth="1"/>
    <col min="9" max="9" width="21.42578125" customWidth="1"/>
    <col min="10" max="10" width="25.5703125" customWidth="1"/>
    <col min="11" max="11" width="13.5703125" customWidth="1"/>
  </cols>
  <sheetData>
    <row r="1" spans="1:16" ht="4.5" customHeight="1"/>
    <row r="2" spans="1:16" ht="14.25" customHeight="1">
      <c r="A2" s="572" t="s">
        <v>346</v>
      </c>
      <c r="B2" s="572"/>
      <c r="C2" s="572"/>
      <c r="D2" s="572"/>
      <c r="E2" s="572"/>
      <c r="F2" s="572"/>
      <c r="G2" s="572"/>
      <c r="H2" s="572"/>
      <c r="I2" s="572"/>
      <c r="J2" s="566"/>
    </row>
    <row r="3" spans="1:16" ht="16.5" customHeight="1">
      <c r="A3" s="572" t="s">
        <v>347</v>
      </c>
      <c r="B3" s="572"/>
      <c r="C3" s="572"/>
      <c r="D3" s="572"/>
      <c r="E3" s="572"/>
      <c r="F3" s="572"/>
      <c r="G3" s="572"/>
      <c r="H3" s="572"/>
      <c r="I3" s="572"/>
      <c r="J3" s="566"/>
    </row>
    <row r="4" spans="1:16" ht="27" customHeight="1">
      <c r="A4" s="572" t="s">
        <v>272</v>
      </c>
      <c r="B4" s="572"/>
      <c r="C4" s="572"/>
      <c r="D4" s="572"/>
      <c r="E4" s="572"/>
      <c r="F4" s="572"/>
      <c r="G4" s="572"/>
      <c r="H4" s="572"/>
      <c r="I4" s="572"/>
      <c r="J4" s="566"/>
    </row>
    <row r="5" spans="1:16" ht="6.75" customHeight="1">
      <c r="A5" s="115"/>
      <c r="B5" s="115"/>
      <c r="C5" s="115"/>
      <c r="D5" s="115"/>
      <c r="E5" s="115"/>
      <c r="F5" s="115"/>
      <c r="G5" s="115"/>
      <c r="H5" s="115"/>
      <c r="I5" s="115"/>
    </row>
    <row r="6" spans="1:16" ht="15">
      <c r="A6" s="115"/>
      <c r="B6" s="116"/>
      <c r="C6" s="116" t="s">
        <v>348</v>
      </c>
      <c r="D6" s="116"/>
      <c r="E6" s="116"/>
      <c r="F6" s="116"/>
      <c r="G6" s="116"/>
      <c r="H6" s="116"/>
      <c r="I6" s="116"/>
      <c r="J6" s="116"/>
    </row>
    <row r="7" spans="1:16" ht="15">
      <c r="A7" s="115"/>
      <c r="B7" s="116" t="s">
        <v>349</v>
      </c>
      <c r="C7" s="116"/>
      <c r="D7" s="116"/>
      <c r="E7" s="116"/>
      <c r="F7" s="116"/>
      <c r="G7" s="116"/>
      <c r="H7" s="116"/>
      <c r="I7" s="116"/>
      <c r="J7" s="116"/>
    </row>
    <row r="8" spans="1:16" ht="67.5" customHeight="1">
      <c r="A8" s="115"/>
      <c r="B8" s="117"/>
      <c r="C8" s="568" t="s">
        <v>367</v>
      </c>
      <c r="D8" s="570"/>
      <c r="E8" s="570"/>
      <c r="F8" s="570"/>
      <c r="G8" s="570"/>
      <c r="H8" s="570"/>
      <c r="I8" s="570"/>
      <c r="J8" s="570"/>
    </row>
    <row r="9" spans="1:16" ht="20.100000000000001" customHeight="1">
      <c r="A9" s="115"/>
      <c r="B9" s="124" t="s">
        <v>379</v>
      </c>
      <c r="C9" s="119"/>
      <c r="D9" s="120"/>
      <c r="E9" s="120"/>
      <c r="F9" s="120"/>
      <c r="G9" s="120"/>
      <c r="H9" s="120"/>
      <c r="I9" s="120"/>
      <c r="J9" s="120"/>
      <c r="K9" s="121"/>
      <c r="P9" t="s">
        <v>742</v>
      </c>
    </row>
    <row r="10" spans="1:16" ht="20.100000000000001" customHeight="1">
      <c r="A10" s="115"/>
      <c r="B10" s="124" t="s">
        <v>382</v>
      </c>
      <c r="C10" s="119"/>
      <c r="D10" s="120"/>
      <c r="E10" s="120"/>
      <c r="F10" s="120"/>
      <c r="G10" s="120"/>
      <c r="H10" s="120"/>
      <c r="I10" s="120"/>
      <c r="J10" s="120"/>
      <c r="K10" s="121"/>
      <c r="P10" t="s">
        <v>743</v>
      </c>
    </row>
    <row r="11" spans="1:16" ht="105.75" customHeight="1">
      <c r="A11" s="115"/>
      <c r="B11" s="117"/>
      <c r="C11" s="568" t="s">
        <v>350</v>
      </c>
      <c r="D11" s="570"/>
      <c r="E11" s="570"/>
      <c r="F11" s="570"/>
      <c r="G11" s="570"/>
      <c r="H11" s="570"/>
      <c r="I11" s="570"/>
      <c r="J11" s="570"/>
    </row>
    <row r="12" spans="1:16" ht="20.100000000000001" customHeight="1">
      <c r="A12" s="115"/>
      <c r="B12" s="118" t="s">
        <v>351</v>
      </c>
      <c r="C12" s="119"/>
      <c r="D12" s="120"/>
      <c r="E12" s="120"/>
      <c r="F12" s="120"/>
      <c r="G12" s="120"/>
      <c r="H12" s="120"/>
      <c r="I12" s="120"/>
      <c r="J12" s="120"/>
      <c r="K12" s="121"/>
    </row>
    <row r="13" spans="1:16" ht="30.75" customHeight="1">
      <c r="A13" s="115"/>
      <c r="B13" s="117"/>
      <c r="C13" s="568" t="s">
        <v>352</v>
      </c>
      <c r="D13" s="570"/>
      <c r="E13" s="570"/>
      <c r="F13" s="570"/>
      <c r="G13" s="570"/>
      <c r="H13" s="570"/>
      <c r="I13" s="570"/>
      <c r="J13" s="570"/>
    </row>
    <row r="14" spans="1:16" ht="20.100000000000001" customHeight="1">
      <c r="A14" s="115"/>
      <c r="B14" s="118" t="s">
        <v>353</v>
      </c>
      <c r="C14" s="119"/>
      <c r="D14" s="120"/>
      <c r="E14" s="120"/>
      <c r="F14" s="120"/>
      <c r="G14" s="120"/>
      <c r="H14" s="120"/>
      <c r="I14" s="120"/>
      <c r="J14" s="120"/>
      <c r="K14" s="121"/>
    </row>
    <row r="15" spans="1:16" ht="30.75" customHeight="1">
      <c r="A15" s="115"/>
      <c r="B15" s="569" t="s">
        <v>354</v>
      </c>
      <c r="C15" s="569"/>
      <c r="D15" s="569"/>
      <c r="E15" s="569"/>
      <c r="F15" s="569"/>
      <c r="G15" s="569"/>
      <c r="H15" s="569"/>
      <c r="I15" s="569"/>
      <c r="J15" s="569"/>
    </row>
    <row r="16" spans="1:16" ht="42" customHeight="1">
      <c r="A16" s="115"/>
      <c r="B16" s="117"/>
      <c r="C16" s="568" t="s">
        <v>355</v>
      </c>
      <c r="D16" s="570"/>
      <c r="E16" s="570"/>
      <c r="F16" s="570"/>
      <c r="G16" s="570"/>
      <c r="H16" s="570"/>
      <c r="I16" s="570"/>
      <c r="J16" s="570"/>
    </row>
    <row r="17" spans="1:11" ht="20.100000000000001" customHeight="1">
      <c r="A17" s="115"/>
      <c r="B17" s="118" t="s">
        <v>356</v>
      </c>
      <c r="C17" s="119"/>
      <c r="D17" s="120"/>
      <c r="E17" s="120"/>
      <c r="F17" s="120"/>
      <c r="G17" s="120"/>
      <c r="H17" s="120"/>
      <c r="I17" s="120"/>
      <c r="J17" s="120"/>
      <c r="K17" s="121"/>
    </row>
    <row r="18" spans="1:11" ht="42.75" customHeight="1">
      <c r="A18" s="115"/>
      <c r="B18" s="117"/>
      <c r="C18" s="568" t="s">
        <v>357</v>
      </c>
      <c r="D18" s="570"/>
      <c r="E18" s="570"/>
      <c r="F18" s="570"/>
      <c r="G18" s="570"/>
      <c r="H18" s="570"/>
      <c r="I18" s="570"/>
      <c r="J18" s="570"/>
    </row>
    <row r="19" spans="1:11" ht="20.100000000000001" customHeight="1">
      <c r="A19" s="115"/>
      <c r="B19" s="571" t="s">
        <v>358</v>
      </c>
      <c r="C19" s="571"/>
      <c r="D19" s="571"/>
      <c r="E19" s="571"/>
      <c r="F19" s="571"/>
      <c r="G19" s="571"/>
      <c r="H19" s="571"/>
      <c r="I19" s="571"/>
      <c r="J19" s="571"/>
      <c r="K19" s="121"/>
    </row>
    <row r="20" spans="1:11" ht="40.5" customHeight="1">
      <c r="A20" s="115"/>
      <c r="B20" s="117"/>
      <c r="C20" s="568" t="s">
        <v>359</v>
      </c>
      <c r="D20" s="570"/>
      <c r="E20" s="570"/>
      <c r="F20" s="570"/>
      <c r="G20" s="570"/>
      <c r="H20" s="570"/>
      <c r="I20" s="570"/>
      <c r="J20" s="570"/>
    </row>
    <row r="21" spans="1:11" ht="20.100000000000001" customHeight="1">
      <c r="A21" s="115"/>
      <c r="B21" s="122" t="s">
        <v>360</v>
      </c>
      <c r="C21" s="123"/>
      <c r="D21" s="123"/>
      <c r="E21" s="123"/>
      <c r="F21" s="123"/>
      <c r="G21" s="123"/>
      <c r="H21" s="123"/>
      <c r="I21" s="123"/>
      <c r="J21" s="123"/>
    </row>
    <row r="22" spans="1:11" ht="33" customHeight="1">
      <c r="A22" s="115"/>
      <c r="B22" s="117"/>
      <c r="C22" s="568" t="s">
        <v>361</v>
      </c>
      <c r="D22" s="570"/>
      <c r="E22" s="570"/>
      <c r="F22" s="570"/>
      <c r="G22" s="570"/>
      <c r="H22" s="570"/>
      <c r="I22" s="570"/>
      <c r="J22" s="570"/>
    </row>
    <row r="23" spans="1:11" ht="20.100000000000001" customHeight="1">
      <c r="A23" s="115"/>
      <c r="B23" s="567" t="s">
        <v>362</v>
      </c>
      <c r="C23" s="567"/>
      <c r="D23" s="567"/>
      <c r="E23" s="567"/>
      <c r="F23" s="567"/>
      <c r="G23" s="567"/>
      <c r="H23" s="567"/>
      <c r="I23" s="567"/>
      <c r="J23" s="567"/>
    </row>
    <row r="24" spans="1:11" ht="44.25" customHeight="1">
      <c r="A24" s="115"/>
      <c r="B24" s="117"/>
      <c r="C24" s="568" t="s">
        <v>363</v>
      </c>
      <c r="D24" s="568"/>
      <c r="E24" s="568"/>
      <c r="F24" s="568"/>
      <c r="G24" s="568"/>
      <c r="H24" s="568"/>
      <c r="I24" s="568"/>
      <c r="J24" s="568"/>
    </row>
    <row r="25" spans="1:11" ht="20.100000000000001" customHeight="1">
      <c r="A25" s="115"/>
      <c r="B25" s="122" t="s">
        <v>364</v>
      </c>
      <c r="C25" s="116"/>
      <c r="D25" s="116"/>
      <c r="E25" s="116"/>
      <c r="F25" s="116"/>
      <c r="G25" s="116"/>
      <c r="H25" s="116"/>
      <c r="I25" s="116"/>
      <c r="J25" s="116"/>
    </row>
    <row r="26" spans="1:11" ht="42" customHeight="1">
      <c r="A26" s="115"/>
      <c r="B26" s="116"/>
      <c r="C26" s="566" t="s">
        <v>380</v>
      </c>
      <c r="D26" s="566"/>
      <c r="E26" s="566"/>
      <c r="F26" s="566"/>
      <c r="G26" s="566"/>
      <c r="H26" s="566"/>
      <c r="I26" s="566"/>
      <c r="J26" s="566"/>
    </row>
    <row r="27" spans="1:11" ht="20.100000000000001" customHeight="1">
      <c r="A27" s="115"/>
      <c r="B27" s="122" t="s">
        <v>381</v>
      </c>
      <c r="C27" s="115"/>
      <c r="D27" s="115"/>
      <c r="E27" s="115"/>
      <c r="F27" s="115"/>
      <c r="G27" s="115"/>
      <c r="H27" s="115"/>
      <c r="I27" s="115"/>
    </row>
    <row r="28" spans="1:11" ht="15">
      <c r="A28" s="115"/>
      <c r="B28" s="115"/>
      <c r="C28" s="115"/>
      <c r="D28" s="115"/>
      <c r="E28" s="115"/>
      <c r="F28" s="115"/>
      <c r="G28" s="115"/>
      <c r="H28" s="115"/>
      <c r="I28" s="115"/>
    </row>
    <row r="29" spans="1:11" ht="15">
      <c r="A29" s="115"/>
      <c r="B29" s="115"/>
      <c r="C29" s="115"/>
      <c r="D29" s="115"/>
      <c r="E29" s="115"/>
      <c r="F29" s="115"/>
      <c r="G29" s="115"/>
      <c r="H29" s="115"/>
      <c r="I29" s="115"/>
    </row>
    <row r="30" spans="1:11" ht="15">
      <c r="A30" s="115"/>
      <c r="B30" s="116" t="s">
        <v>331</v>
      </c>
      <c r="C30" s="116"/>
      <c r="D30" s="116"/>
      <c r="E30" s="116"/>
      <c r="F30" s="116"/>
      <c r="G30" s="116"/>
      <c r="H30" s="116"/>
      <c r="I30" s="116"/>
      <c r="J30" s="116" t="s">
        <v>332</v>
      </c>
    </row>
    <row r="31" spans="1:11" ht="15">
      <c r="A31" s="115"/>
      <c r="B31" s="115"/>
      <c r="C31" s="115"/>
      <c r="D31" s="115"/>
      <c r="E31" s="115"/>
      <c r="F31" s="115"/>
      <c r="G31" s="115"/>
      <c r="H31" s="115"/>
      <c r="I31" s="115"/>
    </row>
    <row r="32" spans="1:11" ht="15">
      <c r="A32" s="115"/>
      <c r="B32" s="115"/>
      <c r="C32" s="115"/>
      <c r="D32" s="115"/>
      <c r="E32" s="115"/>
      <c r="F32" s="115"/>
      <c r="G32" s="115"/>
      <c r="H32" s="115"/>
      <c r="I32" s="115"/>
    </row>
    <row r="33" spans="1:9" ht="15">
      <c r="A33" s="115"/>
      <c r="B33" s="115"/>
      <c r="C33" s="115"/>
      <c r="D33" s="115"/>
      <c r="E33" s="115"/>
      <c r="F33" s="115"/>
      <c r="G33" s="115"/>
      <c r="H33" s="115"/>
      <c r="I33" s="115"/>
    </row>
    <row r="34" spans="1:9" ht="15">
      <c r="A34" s="115"/>
      <c r="B34" s="115"/>
      <c r="C34" s="115"/>
      <c r="D34" s="115"/>
      <c r="E34" s="115"/>
      <c r="F34" s="115"/>
      <c r="G34" s="115"/>
      <c r="H34" s="115"/>
      <c r="I34" s="115"/>
    </row>
    <row r="35" spans="1:9" ht="15">
      <c r="A35" s="115"/>
      <c r="B35" s="115"/>
      <c r="C35" s="115"/>
      <c r="D35" s="115"/>
      <c r="E35" s="115"/>
      <c r="F35" s="115"/>
      <c r="G35" s="115"/>
      <c r="H35" s="115"/>
      <c r="I35" s="115"/>
    </row>
    <row r="36" spans="1:9" ht="15">
      <c r="A36" s="115"/>
      <c r="B36" s="115"/>
      <c r="C36" s="115"/>
      <c r="D36" s="115"/>
      <c r="E36" s="115"/>
      <c r="F36" s="115"/>
      <c r="G36" s="115"/>
      <c r="H36" s="115"/>
      <c r="I36" s="115"/>
    </row>
    <row r="37" spans="1:9" ht="15">
      <c r="A37" s="115"/>
      <c r="B37" s="115"/>
      <c r="C37" s="115"/>
      <c r="D37" s="115"/>
      <c r="E37" s="115"/>
      <c r="F37" s="115"/>
      <c r="G37" s="115"/>
      <c r="H37" s="115"/>
      <c r="I37" s="115"/>
    </row>
    <row r="38" spans="1:9" ht="15">
      <c r="A38" s="115"/>
      <c r="B38" s="115"/>
      <c r="C38" s="115"/>
      <c r="D38" s="115"/>
      <c r="E38" s="115"/>
      <c r="F38" s="115"/>
      <c r="G38" s="115"/>
      <c r="H38" s="115"/>
      <c r="I38" s="115"/>
    </row>
    <row r="39" spans="1:9" ht="15">
      <c r="A39" s="115"/>
      <c r="B39" s="115"/>
      <c r="C39" s="115"/>
      <c r="D39" s="115"/>
      <c r="E39" s="115"/>
      <c r="F39" s="115"/>
      <c r="G39" s="115"/>
      <c r="H39" s="115"/>
      <c r="I39" s="115"/>
    </row>
    <row r="40" spans="1:9" ht="15">
      <c r="A40" s="115"/>
      <c r="B40" s="115"/>
      <c r="C40" s="115"/>
      <c r="D40" s="115"/>
      <c r="E40" s="115"/>
      <c r="F40" s="115"/>
      <c r="G40" s="115"/>
      <c r="H40" s="115"/>
      <c r="I40" s="115"/>
    </row>
  </sheetData>
  <mergeCells count="15">
    <mergeCell ref="C13:J13"/>
    <mergeCell ref="A2:J2"/>
    <mergeCell ref="A3:J3"/>
    <mergeCell ref="A4:J4"/>
    <mergeCell ref="C8:J8"/>
    <mergeCell ref="C11:J11"/>
    <mergeCell ref="C26:J26"/>
    <mergeCell ref="B23:J23"/>
    <mergeCell ref="C24:J24"/>
    <mergeCell ref="B15:J15"/>
    <mergeCell ref="C16:J16"/>
    <mergeCell ref="C18:J18"/>
    <mergeCell ref="B19:J19"/>
    <mergeCell ref="C20:J20"/>
    <mergeCell ref="C22:J22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L40"/>
  <sheetViews>
    <sheetView workbookViewId="0">
      <selection activeCell="B19" sqref="B19:J19"/>
    </sheetView>
  </sheetViews>
  <sheetFormatPr defaultRowHeight="12.75"/>
  <cols>
    <col min="1" max="1" width="2.28515625" customWidth="1"/>
    <col min="2" max="2" width="3.42578125" customWidth="1"/>
    <col min="3" max="3" width="20.42578125" customWidth="1"/>
    <col min="4" max="4" width="11" customWidth="1"/>
    <col min="5" max="5" width="6.5703125" customWidth="1"/>
    <col min="6" max="6" width="7.85546875" customWidth="1"/>
    <col min="7" max="7" width="13.7109375" customWidth="1"/>
    <col min="8" max="8" width="14" customWidth="1"/>
    <col min="9" max="9" width="15.42578125" customWidth="1"/>
  </cols>
  <sheetData>
    <row r="1" spans="2:10">
      <c r="I1" s="50" t="s">
        <v>307</v>
      </c>
    </row>
    <row r="3" spans="2:10" ht="41.25" customHeight="1">
      <c r="B3" s="573" t="s">
        <v>620</v>
      </c>
      <c r="C3" s="573"/>
      <c r="D3" s="573"/>
      <c r="E3" s="573"/>
      <c r="F3" s="574"/>
      <c r="G3" s="574"/>
      <c r="H3" s="574"/>
      <c r="I3" s="574"/>
    </row>
    <row r="4" spans="2:10" ht="7.5" customHeight="1">
      <c r="B4" s="97"/>
      <c r="C4" s="97"/>
      <c r="D4" s="97"/>
      <c r="E4" s="97"/>
      <c r="F4" s="98"/>
      <c r="G4" s="98"/>
      <c r="H4" s="98"/>
      <c r="I4" s="98"/>
    </row>
    <row r="5" spans="2:10" ht="18.75" customHeight="1">
      <c r="B5" s="97"/>
      <c r="C5" s="583" t="s">
        <v>326</v>
      </c>
      <c r="D5" s="583"/>
      <c r="E5" s="583"/>
      <c r="F5" s="583"/>
      <c r="G5" s="583"/>
      <c r="H5" s="583"/>
      <c r="I5" s="584"/>
      <c r="J5" s="1"/>
    </row>
    <row r="6" spans="2:10" ht="18.75" customHeight="1">
      <c r="B6" s="97"/>
      <c r="C6" s="584" t="s">
        <v>327</v>
      </c>
      <c r="D6" s="584"/>
      <c r="E6" s="584"/>
      <c r="F6" s="584"/>
      <c r="G6" s="584"/>
      <c r="H6" s="584"/>
      <c r="I6" s="584"/>
      <c r="J6" s="1"/>
    </row>
    <row r="7" spans="2:10" ht="18.75">
      <c r="B7" s="97"/>
      <c r="C7" s="583" t="s">
        <v>328</v>
      </c>
      <c r="D7" s="585"/>
      <c r="E7" s="585"/>
      <c r="F7" s="585"/>
      <c r="G7" s="585"/>
      <c r="H7" s="585"/>
      <c r="I7" s="585"/>
    </row>
    <row r="8" spans="2:10" ht="18.75">
      <c r="B8" s="97"/>
      <c r="C8" s="583" t="s">
        <v>329</v>
      </c>
      <c r="D8" s="585"/>
      <c r="E8" s="585"/>
      <c r="F8" s="585"/>
      <c r="G8" s="585"/>
      <c r="H8" s="585"/>
      <c r="I8" s="585"/>
    </row>
    <row r="10" spans="2:10" ht="36.75" customHeight="1">
      <c r="B10" s="55"/>
      <c r="C10" s="56" t="s">
        <v>257</v>
      </c>
      <c r="D10" s="56"/>
      <c r="E10" s="56" t="s">
        <v>300</v>
      </c>
      <c r="F10" s="56" t="s">
        <v>299</v>
      </c>
      <c r="G10" s="56" t="s">
        <v>321</v>
      </c>
      <c r="H10" s="56" t="s">
        <v>322</v>
      </c>
      <c r="I10" s="56" t="s">
        <v>319</v>
      </c>
      <c r="J10" s="53"/>
    </row>
    <row r="11" spans="2:10" ht="18.75" customHeight="1">
      <c r="B11" s="85">
        <v>1</v>
      </c>
      <c r="C11" s="580" t="s">
        <v>621</v>
      </c>
      <c r="D11" s="581"/>
      <c r="E11" s="581"/>
      <c r="F11" s="581"/>
      <c r="G11" s="581"/>
      <c r="H11" s="582"/>
      <c r="I11" s="96">
        <v>427.21</v>
      </c>
    </row>
    <row r="12" spans="2:10" ht="18" customHeight="1">
      <c r="B12" s="85">
        <v>2</v>
      </c>
      <c r="C12" s="575" t="s">
        <v>622</v>
      </c>
      <c r="D12" s="576"/>
      <c r="E12" s="576"/>
      <c r="F12" s="576"/>
      <c r="G12" s="576"/>
      <c r="H12" s="576"/>
      <c r="I12" s="577"/>
    </row>
    <row r="13" spans="2:10" ht="15" customHeight="1">
      <c r="B13" s="85"/>
      <c r="C13" s="89"/>
      <c r="D13" s="89" t="s">
        <v>10</v>
      </c>
      <c r="E13" s="88" t="s">
        <v>320</v>
      </c>
      <c r="F13" s="102">
        <v>14</v>
      </c>
      <c r="G13" s="81">
        <v>15.33</v>
      </c>
      <c r="H13" s="86">
        <v>6.08</v>
      </c>
      <c r="I13" s="86">
        <f>F13*G13+F13*H13</f>
        <v>299.74</v>
      </c>
    </row>
    <row r="14" spans="2:10" ht="15" customHeight="1">
      <c r="B14" s="85"/>
      <c r="C14" s="90"/>
      <c r="D14" s="90" t="s">
        <v>11</v>
      </c>
      <c r="E14" s="88" t="s">
        <v>320</v>
      </c>
      <c r="F14" s="102">
        <v>14</v>
      </c>
      <c r="G14" s="81">
        <v>15.33</v>
      </c>
      <c r="H14" s="86">
        <v>6.08</v>
      </c>
      <c r="I14" s="86">
        <f t="shared" ref="I14:I24" si="0">F14*G14+F14*H14</f>
        <v>299.74</v>
      </c>
    </row>
    <row r="15" spans="2:10" ht="15" customHeight="1">
      <c r="B15" s="85"/>
      <c r="C15" s="80"/>
      <c r="D15" s="80" t="s">
        <v>12</v>
      </c>
      <c r="E15" s="88" t="s">
        <v>320</v>
      </c>
      <c r="F15" s="102">
        <v>14</v>
      </c>
      <c r="G15" s="81">
        <v>15.33</v>
      </c>
      <c r="H15" s="86">
        <v>6.08</v>
      </c>
      <c r="I15" s="86">
        <f t="shared" si="0"/>
        <v>299.74</v>
      </c>
    </row>
    <row r="16" spans="2:10" ht="15" customHeight="1">
      <c r="B16" s="59"/>
      <c r="C16" s="80"/>
      <c r="D16" s="80" t="s">
        <v>13</v>
      </c>
      <c r="E16" s="88" t="s">
        <v>320</v>
      </c>
      <c r="F16" s="103">
        <v>7.63</v>
      </c>
      <c r="G16" s="81">
        <v>15.33</v>
      </c>
      <c r="H16" s="86">
        <v>6.08</v>
      </c>
      <c r="I16" s="86">
        <f t="shared" si="0"/>
        <v>163.35829999999999</v>
      </c>
    </row>
    <row r="17" spans="1:10" ht="15" customHeight="1">
      <c r="B17" s="59"/>
      <c r="C17" s="80"/>
      <c r="D17" s="80" t="s">
        <v>14</v>
      </c>
      <c r="E17" s="88" t="s">
        <v>320</v>
      </c>
      <c r="F17" s="103">
        <v>0</v>
      </c>
      <c r="G17" s="81">
        <v>15.33</v>
      </c>
      <c r="H17" s="86">
        <v>6.08</v>
      </c>
      <c r="I17" s="86">
        <f t="shared" si="0"/>
        <v>0</v>
      </c>
    </row>
    <row r="18" spans="1:10" ht="15" customHeight="1">
      <c r="B18" s="59"/>
      <c r="C18" s="80"/>
      <c r="D18" s="80" t="s">
        <v>15</v>
      </c>
      <c r="E18" s="88" t="s">
        <v>320</v>
      </c>
      <c r="F18" s="103">
        <v>0</v>
      </c>
      <c r="G18" s="81">
        <v>15.33</v>
      </c>
      <c r="H18" s="86">
        <v>6.08</v>
      </c>
      <c r="I18" s="86">
        <f t="shared" si="0"/>
        <v>0</v>
      </c>
      <c r="J18" s="58"/>
    </row>
    <row r="19" spans="1:10" ht="15" customHeight="1">
      <c r="B19" s="59"/>
      <c r="C19" s="80"/>
      <c r="D19" s="80" t="s">
        <v>16</v>
      </c>
      <c r="E19" s="88" t="s">
        <v>320</v>
      </c>
      <c r="F19" s="103">
        <v>0</v>
      </c>
      <c r="G19" s="81">
        <v>15.33</v>
      </c>
      <c r="H19" s="86">
        <v>6.08</v>
      </c>
      <c r="I19" s="86">
        <f t="shared" si="0"/>
        <v>0</v>
      </c>
    </row>
    <row r="20" spans="1:10" ht="15" customHeight="1">
      <c r="B20" s="59"/>
      <c r="C20" s="91"/>
      <c r="D20" s="91" t="s">
        <v>17</v>
      </c>
      <c r="E20" s="88" t="s">
        <v>320</v>
      </c>
      <c r="F20" s="103">
        <v>0</v>
      </c>
      <c r="G20" s="81">
        <v>15.33</v>
      </c>
      <c r="H20" s="86">
        <v>6.08</v>
      </c>
      <c r="I20" s="86">
        <f t="shared" si="0"/>
        <v>0</v>
      </c>
    </row>
    <row r="21" spans="1:10" ht="15" customHeight="1">
      <c r="A21" t="s">
        <v>305</v>
      </c>
      <c r="B21" s="59"/>
      <c r="C21" s="91"/>
      <c r="D21" s="91" t="s">
        <v>18</v>
      </c>
      <c r="E21" s="88" t="s">
        <v>320</v>
      </c>
      <c r="F21" s="103">
        <v>0</v>
      </c>
      <c r="G21" s="81">
        <v>15.33</v>
      </c>
      <c r="H21" s="86">
        <v>6.08</v>
      </c>
      <c r="I21" s="86">
        <f t="shared" si="0"/>
        <v>0</v>
      </c>
    </row>
    <row r="22" spans="1:10" ht="15" customHeight="1">
      <c r="B22" s="59"/>
      <c r="C22" s="91"/>
      <c r="D22" s="91" t="s">
        <v>19</v>
      </c>
      <c r="E22" s="88" t="s">
        <v>320</v>
      </c>
      <c r="F22" s="103">
        <v>7.63</v>
      </c>
      <c r="G22" s="81">
        <v>15.33</v>
      </c>
      <c r="H22" s="86">
        <v>6.08</v>
      </c>
      <c r="I22" s="86">
        <f t="shared" si="0"/>
        <v>163.35829999999999</v>
      </c>
    </row>
    <row r="23" spans="1:10" ht="15" customHeight="1">
      <c r="B23" s="59"/>
      <c r="C23" s="91"/>
      <c r="D23" s="91" t="s">
        <v>20</v>
      </c>
      <c r="E23" s="88" t="s">
        <v>320</v>
      </c>
      <c r="F23" s="102">
        <v>14</v>
      </c>
      <c r="G23" s="81">
        <v>15.33</v>
      </c>
      <c r="H23" s="86">
        <v>6.08</v>
      </c>
      <c r="I23" s="86">
        <f t="shared" si="0"/>
        <v>299.74</v>
      </c>
    </row>
    <row r="24" spans="1:10" ht="15" customHeight="1">
      <c r="B24" s="59"/>
      <c r="C24" s="91"/>
      <c r="D24" s="91" t="s">
        <v>21</v>
      </c>
      <c r="E24" s="88" t="s">
        <v>320</v>
      </c>
      <c r="F24" s="103">
        <v>14</v>
      </c>
      <c r="G24" s="81">
        <v>15.33</v>
      </c>
      <c r="H24" s="86">
        <v>6.08</v>
      </c>
      <c r="I24" s="86">
        <f t="shared" si="0"/>
        <v>299.74</v>
      </c>
    </row>
    <row r="25" spans="1:10" ht="20.100000000000001" customHeight="1">
      <c r="B25" s="59"/>
      <c r="C25" s="578"/>
      <c r="D25" s="579"/>
      <c r="E25" s="60"/>
      <c r="F25" s="93">
        <f>SUM(F13:F24)</f>
        <v>85.26</v>
      </c>
      <c r="G25" s="60"/>
      <c r="H25" s="61"/>
      <c r="I25" s="92">
        <f>SUM(I13:I24)</f>
        <v>1825.4166</v>
      </c>
    </row>
    <row r="26" spans="1:10" ht="20.100000000000001" hidden="1" customHeight="1">
      <c r="B26" s="59"/>
      <c r="C26" s="60"/>
      <c r="D26" s="60"/>
      <c r="E26" s="60"/>
      <c r="F26" s="60"/>
      <c r="G26" s="60"/>
      <c r="H26" s="61"/>
      <c r="I26" s="61">
        <f t="shared" ref="I26:I36" si="1">F26*H26</f>
        <v>0</v>
      </c>
    </row>
    <row r="27" spans="1:10" ht="20.100000000000001" hidden="1" customHeight="1">
      <c r="B27" s="59"/>
      <c r="C27" s="60"/>
      <c r="D27" s="60"/>
      <c r="E27" s="60"/>
      <c r="F27" s="60"/>
      <c r="G27" s="60"/>
      <c r="H27" s="61"/>
      <c r="I27" s="61">
        <f t="shared" si="1"/>
        <v>0</v>
      </c>
    </row>
    <row r="28" spans="1:10" ht="20.100000000000001" hidden="1" customHeight="1">
      <c r="B28" s="59"/>
      <c r="C28" s="60"/>
      <c r="D28" s="60"/>
      <c r="E28" s="60"/>
      <c r="F28" s="60"/>
      <c r="G28" s="60"/>
      <c r="H28" s="61"/>
      <c r="I28" s="61">
        <f t="shared" si="1"/>
        <v>0</v>
      </c>
    </row>
    <row r="29" spans="1:10" ht="20.100000000000001" hidden="1" customHeight="1">
      <c r="B29" s="59"/>
      <c r="C29" s="60"/>
      <c r="D29" s="60"/>
      <c r="E29" s="60"/>
      <c r="F29" s="60"/>
      <c r="G29" s="60"/>
      <c r="H29" s="61"/>
      <c r="I29" s="61">
        <f t="shared" si="1"/>
        <v>0</v>
      </c>
    </row>
    <row r="30" spans="1:10" ht="20.100000000000001" hidden="1" customHeight="1">
      <c r="B30" s="59"/>
      <c r="C30" s="60"/>
      <c r="D30" s="60"/>
      <c r="E30" s="60"/>
      <c r="F30" s="60"/>
      <c r="G30" s="60"/>
      <c r="H30" s="61"/>
      <c r="I30" s="61">
        <f t="shared" si="1"/>
        <v>0</v>
      </c>
    </row>
    <row r="31" spans="1:10" ht="20.100000000000001" hidden="1" customHeight="1">
      <c r="B31" s="59"/>
      <c r="C31" s="60"/>
      <c r="D31" s="60"/>
      <c r="E31" s="60"/>
      <c r="F31" s="60"/>
      <c r="G31" s="60"/>
      <c r="H31" s="61"/>
      <c r="I31" s="61">
        <f t="shared" si="1"/>
        <v>0</v>
      </c>
    </row>
    <row r="32" spans="1:10" ht="20.100000000000001" hidden="1" customHeight="1">
      <c r="B32" s="59"/>
      <c r="C32" s="60"/>
      <c r="D32" s="60"/>
      <c r="E32" s="60"/>
      <c r="F32" s="60"/>
      <c r="G32" s="60"/>
      <c r="H32" s="61"/>
      <c r="I32" s="61">
        <f t="shared" si="1"/>
        <v>0</v>
      </c>
    </row>
    <row r="33" spans="2:12" ht="20.100000000000001" hidden="1" customHeight="1">
      <c r="B33" s="59"/>
      <c r="C33" s="60"/>
      <c r="D33" s="60"/>
      <c r="E33" s="60"/>
      <c r="F33" s="60"/>
      <c r="G33" s="60"/>
      <c r="H33" s="61"/>
      <c r="I33" s="61">
        <f t="shared" si="1"/>
        <v>0</v>
      </c>
    </row>
    <row r="34" spans="2:12" ht="20.100000000000001" hidden="1" customHeight="1">
      <c r="B34" s="59"/>
      <c r="C34" s="60"/>
      <c r="D34" s="60"/>
      <c r="E34" s="60"/>
      <c r="F34" s="60"/>
      <c r="G34" s="60"/>
      <c r="H34" s="61"/>
      <c r="I34" s="61">
        <f t="shared" si="1"/>
        <v>0</v>
      </c>
    </row>
    <row r="35" spans="2:12" ht="20.100000000000001" hidden="1" customHeight="1">
      <c r="B35" s="59"/>
      <c r="C35" s="60"/>
      <c r="D35" s="60"/>
      <c r="E35" s="60"/>
      <c r="F35" s="60"/>
      <c r="G35" s="60"/>
      <c r="H35" s="61"/>
      <c r="I35" s="61">
        <f t="shared" si="1"/>
        <v>0</v>
      </c>
    </row>
    <row r="36" spans="2:12" ht="20.100000000000001" hidden="1" customHeight="1">
      <c r="B36" s="59"/>
      <c r="C36" s="60"/>
      <c r="D36" s="60"/>
      <c r="E36" s="60"/>
      <c r="F36" s="60"/>
      <c r="G36" s="60"/>
      <c r="H36" s="61"/>
      <c r="I36" s="61">
        <f t="shared" si="1"/>
        <v>0</v>
      </c>
    </row>
    <row r="37" spans="2:12" ht="20.100000000000001" hidden="1" customHeight="1">
      <c r="B37" s="59"/>
      <c r="C37" s="60"/>
      <c r="D37" s="60"/>
      <c r="E37" s="60"/>
      <c r="F37" s="60"/>
      <c r="G37" s="60"/>
      <c r="H37" s="61"/>
      <c r="I37" s="61"/>
    </row>
    <row r="38" spans="2:12" ht="24.75" customHeight="1">
      <c r="C38" s="62" t="s">
        <v>306</v>
      </c>
      <c r="D38" s="62"/>
      <c r="E38" s="1"/>
      <c r="F38" s="1"/>
      <c r="G38" s="1"/>
      <c r="H38" s="57"/>
      <c r="I38" s="382">
        <f>I11+I25</f>
        <v>2252.6266000000001</v>
      </c>
      <c r="L38" s="186" t="s">
        <v>666</v>
      </c>
    </row>
    <row r="39" spans="2:12">
      <c r="H39" s="54"/>
      <c r="I39" s="54"/>
    </row>
    <row r="40" spans="2:12" ht="15.75">
      <c r="B40" s="25"/>
      <c r="C40" t="s">
        <v>331</v>
      </c>
      <c r="H40" s="54"/>
      <c r="I40" s="54" t="s">
        <v>332</v>
      </c>
    </row>
  </sheetData>
  <mergeCells count="8">
    <mergeCell ref="B3:I3"/>
    <mergeCell ref="C12:I12"/>
    <mergeCell ref="C25:D25"/>
    <mergeCell ref="C11:H11"/>
    <mergeCell ref="C5:I5"/>
    <mergeCell ref="C6:I6"/>
    <mergeCell ref="C7:I7"/>
    <mergeCell ref="C8:I8"/>
  </mergeCells>
  <pageMargins left="0.39370078740157483" right="0.39370078740157483" top="0.74803149606299213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B1:P50"/>
  <sheetViews>
    <sheetView workbookViewId="0">
      <selection activeCell="B19" sqref="B19:J19"/>
    </sheetView>
  </sheetViews>
  <sheetFormatPr defaultRowHeight="12.75"/>
  <cols>
    <col min="1" max="1" width="1.140625" customWidth="1"/>
    <col min="2" max="2" width="7.28515625" customWidth="1"/>
    <col min="3" max="3" width="4.85546875" customWidth="1"/>
    <col min="4" max="4" width="19.42578125" customWidth="1"/>
    <col min="5" max="5" width="22.28515625" customWidth="1"/>
    <col min="6" max="6" width="5.42578125" customWidth="1"/>
    <col min="7" max="7" width="6" customWidth="1"/>
    <col min="8" max="8" width="14.42578125" customWidth="1"/>
    <col min="9" max="9" width="13.7109375" customWidth="1"/>
    <col min="10" max="10" width="13.28515625" customWidth="1"/>
    <col min="12" max="12" width="16.42578125" customWidth="1"/>
  </cols>
  <sheetData>
    <row r="1" spans="2:16">
      <c r="J1" s="50" t="s">
        <v>313</v>
      </c>
    </row>
    <row r="2" spans="2:16" ht="3.75" customHeight="1"/>
    <row r="3" spans="2:16" ht="38.25" customHeight="1">
      <c r="B3" s="573" t="s">
        <v>694</v>
      </c>
      <c r="C3" s="573"/>
      <c r="D3" s="573"/>
      <c r="E3" s="573"/>
      <c r="F3" s="573"/>
      <c r="G3" s="574"/>
      <c r="H3" s="574"/>
      <c r="I3" s="574"/>
      <c r="J3" s="574"/>
    </row>
    <row r="4" spans="2:16" ht="6.75" customHeight="1"/>
    <row r="5" spans="2:16" ht="36.75" customHeight="1">
      <c r="B5" s="56">
        <v>2433.75</v>
      </c>
      <c r="C5" s="586" t="s">
        <v>257</v>
      </c>
      <c r="D5" s="587"/>
      <c r="E5" s="588"/>
      <c r="F5" s="56" t="s">
        <v>300</v>
      </c>
      <c r="G5" s="56" t="s">
        <v>299</v>
      </c>
      <c r="H5" s="56" t="s">
        <v>323</v>
      </c>
      <c r="I5" s="56" t="s">
        <v>392</v>
      </c>
      <c r="J5" s="56" t="s">
        <v>396</v>
      </c>
      <c r="K5" s="53"/>
    </row>
    <row r="6" spans="2:16" ht="35.25" customHeight="1">
      <c r="B6" s="590">
        <v>1</v>
      </c>
      <c r="C6" s="589" t="s">
        <v>397</v>
      </c>
      <c r="D6" s="576"/>
      <c r="E6" s="577"/>
      <c r="F6" s="56"/>
      <c r="G6" s="56"/>
      <c r="H6" s="56"/>
      <c r="I6" s="56"/>
      <c r="J6" s="56"/>
      <c r="K6" s="53"/>
    </row>
    <row r="7" spans="2:16" ht="15.75" customHeight="1">
      <c r="B7" s="598"/>
      <c r="C7" s="586" t="s">
        <v>398</v>
      </c>
      <c r="D7" s="577"/>
      <c r="E7" s="56" t="s">
        <v>399</v>
      </c>
      <c r="F7" s="88"/>
      <c r="G7" s="94"/>
      <c r="H7" s="86"/>
      <c r="I7" s="138"/>
      <c r="J7" s="86"/>
      <c r="K7" s="53"/>
    </row>
    <row r="8" spans="2:16" ht="20.100000000000001" customHeight="1">
      <c r="B8" s="598"/>
      <c r="C8" s="596" t="s">
        <v>401</v>
      </c>
      <c r="D8" s="597"/>
      <c r="E8" s="139" t="s">
        <v>402</v>
      </c>
      <c r="F8" s="88" t="s">
        <v>303</v>
      </c>
      <c r="G8" s="315">
        <v>1</v>
      </c>
      <c r="H8" s="316">
        <v>8387</v>
      </c>
      <c r="I8" s="317" t="s">
        <v>400</v>
      </c>
      <c r="J8" s="316">
        <f t="shared" ref="J8:J11" si="0">H8/2*G8</f>
        <v>4193.5</v>
      </c>
      <c r="K8" s="53">
        <v>2019</v>
      </c>
      <c r="L8" t="s">
        <v>629</v>
      </c>
    </row>
    <row r="9" spans="2:16" ht="20.100000000000001" customHeight="1">
      <c r="B9" s="598"/>
      <c r="C9" s="596" t="s">
        <v>403</v>
      </c>
      <c r="D9" s="597"/>
      <c r="E9" s="139" t="s">
        <v>402</v>
      </c>
      <c r="F9" s="88" t="s">
        <v>303</v>
      </c>
      <c r="G9" s="315">
        <v>1</v>
      </c>
      <c r="H9" s="316">
        <v>7113</v>
      </c>
      <c r="I9" s="317" t="s">
        <v>400</v>
      </c>
      <c r="J9" s="316">
        <f t="shared" si="0"/>
        <v>3556.5</v>
      </c>
      <c r="K9" s="53">
        <v>2019</v>
      </c>
      <c r="L9" s="245" t="s">
        <v>629</v>
      </c>
    </row>
    <row r="10" spans="2:16" ht="20.100000000000001" customHeight="1">
      <c r="B10" s="598"/>
      <c r="C10" s="596" t="s">
        <v>404</v>
      </c>
      <c r="D10" s="597"/>
      <c r="E10" s="139" t="s">
        <v>402</v>
      </c>
      <c r="F10" s="88" t="s">
        <v>303</v>
      </c>
      <c r="G10" s="315">
        <v>1</v>
      </c>
      <c r="H10" s="316">
        <v>10577</v>
      </c>
      <c r="I10" s="317" t="s">
        <v>400</v>
      </c>
      <c r="J10" s="316">
        <f t="shared" si="0"/>
        <v>5288.5</v>
      </c>
      <c r="K10" s="53">
        <v>2019</v>
      </c>
      <c r="L10" s="245" t="s">
        <v>629</v>
      </c>
    </row>
    <row r="11" spans="2:16" ht="20.100000000000001" customHeight="1">
      <c r="B11" s="599"/>
      <c r="C11" s="596" t="s">
        <v>632</v>
      </c>
      <c r="D11" s="597"/>
      <c r="E11" s="139" t="s">
        <v>405</v>
      </c>
      <c r="F11" s="88" t="s">
        <v>303</v>
      </c>
      <c r="G11" s="315">
        <v>1</v>
      </c>
      <c r="H11" s="316">
        <v>2920</v>
      </c>
      <c r="I11" s="317" t="s">
        <v>400</v>
      </c>
      <c r="J11" s="316">
        <f t="shared" si="0"/>
        <v>1460</v>
      </c>
      <c r="K11" s="53">
        <v>2019</v>
      </c>
      <c r="L11" s="245" t="s">
        <v>629</v>
      </c>
    </row>
    <row r="12" spans="2:16" ht="20.100000000000001" customHeight="1">
      <c r="B12" s="72">
        <v>2</v>
      </c>
      <c r="C12" s="606" t="s">
        <v>406</v>
      </c>
      <c r="D12" s="576"/>
      <c r="E12" s="577"/>
      <c r="F12" s="88" t="s">
        <v>303</v>
      </c>
      <c r="G12" s="315">
        <v>4</v>
      </c>
      <c r="H12" s="316">
        <v>2083</v>
      </c>
      <c r="I12" s="317" t="s">
        <v>400</v>
      </c>
      <c r="J12" s="316">
        <f>H12/2*G12</f>
        <v>4166</v>
      </c>
      <c r="K12" s="314" t="s">
        <v>627</v>
      </c>
      <c r="L12" s="186"/>
    </row>
    <row r="13" spans="2:16" ht="20.100000000000001" customHeight="1">
      <c r="B13" s="72">
        <v>3</v>
      </c>
      <c r="C13" s="600" t="s">
        <v>407</v>
      </c>
      <c r="D13" s="601"/>
      <c r="E13" s="602"/>
      <c r="F13" s="88" t="s">
        <v>303</v>
      </c>
      <c r="G13" s="315">
        <v>4</v>
      </c>
      <c r="H13" s="316">
        <v>740</v>
      </c>
      <c r="I13" s="317" t="s">
        <v>336</v>
      </c>
      <c r="J13" s="316">
        <f>H13*G13</f>
        <v>2960</v>
      </c>
      <c r="K13" s="318">
        <v>2020</v>
      </c>
      <c r="L13" t="s">
        <v>630</v>
      </c>
    </row>
    <row r="14" spans="2:16" ht="20.100000000000001" customHeight="1">
      <c r="B14" s="72">
        <v>4</v>
      </c>
      <c r="C14" s="600" t="s">
        <v>408</v>
      </c>
      <c r="D14" s="601"/>
      <c r="E14" s="602"/>
      <c r="F14" s="88" t="s">
        <v>303</v>
      </c>
      <c r="G14" s="315">
        <v>4</v>
      </c>
      <c r="H14" s="316">
        <v>590</v>
      </c>
      <c r="I14" s="317" t="s">
        <v>400</v>
      </c>
      <c r="J14" s="316">
        <f>H14/2*G14</f>
        <v>1180</v>
      </c>
      <c r="K14" s="318">
        <v>2021</v>
      </c>
      <c r="L14" t="s">
        <v>631</v>
      </c>
      <c r="P14" t="s">
        <v>624</v>
      </c>
    </row>
    <row r="15" spans="2:16" ht="19.5" customHeight="1">
      <c r="B15" s="72">
        <v>6</v>
      </c>
      <c r="C15" s="603" t="s">
        <v>324</v>
      </c>
      <c r="D15" s="604"/>
      <c r="E15" s="605"/>
      <c r="F15" s="88" t="s">
        <v>303</v>
      </c>
      <c r="G15" s="315">
        <v>4</v>
      </c>
      <c r="H15" s="316">
        <v>2433.75</v>
      </c>
      <c r="I15" s="317" t="s">
        <v>336</v>
      </c>
      <c r="J15" s="316">
        <f t="shared" ref="J15:J17" si="1">H15*G15</f>
        <v>9735</v>
      </c>
      <c r="K15" s="318">
        <v>2020</v>
      </c>
      <c r="L15" t="s">
        <v>628</v>
      </c>
      <c r="P15" t="s">
        <v>625</v>
      </c>
    </row>
    <row r="16" spans="2:16" ht="36" customHeight="1">
      <c r="B16" s="72">
        <v>7</v>
      </c>
      <c r="C16" s="603" t="s">
        <v>325</v>
      </c>
      <c r="D16" s="604"/>
      <c r="E16" s="605"/>
      <c r="F16" s="88" t="s">
        <v>303</v>
      </c>
      <c r="G16" s="94">
        <v>6</v>
      </c>
      <c r="H16" s="86">
        <v>0</v>
      </c>
      <c r="I16" s="140" t="s">
        <v>336</v>
      </c>
      <c r="J16" s="86">
        <f t="shared" si="1"/>
        <v>0</v>
      </c>
      <c r="K16" s="318">
        <v>2020</v>
      </c>
      <c r="L16" s="245" t="s">
        <v>628</v>
      </c>
      <c r="P16" t="s">
        <v>626</v>
      </c>
    </row>
    <row r="17" spans="2:12" ht="31.5" customHeight="1">
      <c r="B17" s="72">
        <v>8</v>
      </c>
      <c r="C17" s="603" t="s">
        <v>409</v>
      </c>
      <c r="D17" s="604"/>
      <c r="E17" s="605"/>
      <c r="F17" s="88" t="s">
        <v>303</v>
      </c>
      <c r="G17" s="315">
        <v>2</v>
      </c>
      <c r="H17" s="316">
        <v>76</v>
      </c>
      <c r="I17" s="317" t="s">
        <v>336</v>
      </c>
      <c r="J17" s="316">
        <f t="shared" si="1"/>
        <v>152</v>
      </c>
      <c r="K17" s="318">
        <v>2020</v>
      </c>
      <c r="L17" s="245" t="s">
        <v>628</v>
      </c>
    </row>
    <row r="18" spans="2:12" ht="20.100000000000001" hidden="1" customHeight="1">
      <c r="B18" s="59"/>
      <c r="C18" s="91"/>
      <c r="D18" s="91"/>
      <c r="E18" s="91"/>
      <c r="F18" s="88"/>
      <c r="G18" s="81"/>
      <c r="H18" s="86"/>
      <c r="I18" s="86"/>
      <c r="J18" s="86">
        <f t="shared" ref="J18:J20" si="2">G18*H18</f>
        <v>0</v>
      </c>
    </row>
    <row r="19" spans="2:12" ht="20.100000000000001" hidden="1" customHeight="1">
      <c r="B19" s="59"/>
      <c r="C19" s="91"/>
      <c r="D19" s="91"/>
      <c r="E19" s="91"/>
      <c r="F19" s="88"/>
      <c r="G19" s="94"/>
      <c r="H19" s="86"/>
      <c r="I19" s="86"/>
      <c r="J19" s="86">
        <f t="shared" si="2"/>
        <v>0</v>
      </c>
    </row>
    <row r="20" spans="2:12" ht="20.100000000000001" hidden="1" customHeight="1">
      <c r="B20" s="59"/>
      <c r="C20" s="91"/>
      <c r="D20" s="91"/>
      <c r="E20" s="91"/>
      <c r="F20" s="88"/>
      <c r="G20" s="81"/>
      <c r="H20" s="86"/>
      <c r="I20" s="86"/>
      <c r="J20" s="86">
        <f t="shared" si="2"/>
        <v>0</v>
      </c>
    </row>
    <row r="21" spans="2:12" ht="20.100000000000001" hidden="1" customHeight="1">
      <c r="B21" s="59"/>
      <c r="C21" s="95"/>
      <c r="D21" s="135"/>
      <c r="E21" s="135"/>
      <c r="F21" s="60"/>
      <c r="G21" s="93"/>
      <c r="H21" s="61"/>
      <c r="I21" s="61"/>
      <c r="J21" s="92"/>
    </row>
    <row r="22" spans="2:12" ht="20.100000000000001" hidden="1" customHeight="1">
      <c r="B22" s="59"/>
      <c r="C22" s="60"/>
      <c r="D22" s="60"/>
      <c r="E22" s="60"/>
      <c r="F22" s="60"/>
      <c r="G22" s="60"/>
      <c r="H22" s="61"/>
      <c r="I22" s="61"/>
      <c r="J22" s="61" t="e">
        <f>G22*#REF!</f>
        <v>#REF!</v>
      </c>
    </row>
    <row r="23" spans="2:12" ht="20.100000000000001" hidden="1" customHeight="1">
      <c r="B23" s="59"/>
      <c r="C23" s="60"/>
      <c r="D23" s="60"/>
      <c r="E23" s="60"/>
      <c r="F23" s="60"/>
      <c r="G23" s="60"/>
      <c r="H23" s="61"/>
      <c r="I23" s="61"/>
      <c r="J23" s="61" t="e">
        <f>G23*#REF!</f>
        <v>#REF!</v>
      </c>
    </row>
    <row r="24" spans="2:12" ht="20.100000000000001" hidden="1" customHeight="1">
      <c r="B24" s="59"/>
      <c r="C24" s="60"/>
      <c r="D24" s="60"/>
      <c r="E24" s="60"/>
      <c r="F24" s="60"/>
      <c r="G24" s="60"/>
      <c r="H24" s="61"/>
      <c r="I24" s="61"/>
      <c r="J24" s="61" t="e">
        <f>G24*#REF!</f>
        <v>#REF!</v>
      </c>
    </row>
    <row r="25" spans="2:12" ht="20.100000000000001" hidden="1" customHeight="1">
      <c r="B25" s="59"/>
      <c r="C25" s="60"/>
      <c r="D25" s="60"/>
      <c r="E25" s="60"/>
      <c r="F25" s="60"/>
      <c r="G25" s="60"/>
      <c r="H25" s="61"/>
      <c r="I25" s="61"/>
      <c r="J25" s="61" t="e">
        <f>G25*#REF!</f>
        <v>#REF!</v>
      </c>
    </row>
    <row r="26" spans="2:12" ht="20.100000000000001" hidden="1" customHeight="1">
      <c r="B26" s="59"/>
      <c r="C26" s="60"/>
      <c r="D26" s="60"/>
      <c r="E26" s="60"/>
      <c r="F26" s="60"/>
      <c r="G26" s="60"/>
      <c r="H26" s="61"/>
      <c r="I26" s="61"/>
      <c r="J26" s="61" t="e">
        <f>G26*#REF!</f>
        <v>#REF!</v>
      </c>
    </row>
    <row r="27" spans="2:12" ht="20.100000000000001" hidden="1" customHeight="1">
      <c r="B27" s="59"/>
      <c r="C27" s="60"/>
      <c r="D27" s="60"/>
      <c r="E27" s="60"/>
      <c r="F27" s="60"/>
      <c r="G27" s="60"/>
      <c r="H27" s="61"/>
      <c r="I27" s="61"/>
      <c r="J27" s="61" t="e">
        <f>G27*#REF!</f>
        <v>#REF!</v>
      </c>
    </row>
    <row r="28" spans="2:12" ht="20.100000000000001" hidden="1" customHeight="1">
      <c r="B28" s="59"/>
      <c r="C28" s="60"/>
      <c r="D28" s="60"/>
      <c r="E28" s="60"/>
      <c r="F28" s="60"/>
      <c r="G28" s="60"/>
      <c r="H28" s="61"/>
      <c r="I28" s="61"/>
      <c r="J28" s="61" t="e">
        <f>G28*#REF!</f>
        <v>#REF!</v>
      </c>
    </row>
    <row r="29" spans="2:12" ht="20.100000000000001" hidden="1" customHeight="1">
      <c r="B29" s="59"/>
      <c r="C29" s="60"/>
      <c r="D29" s="60"/>
      <c r="E29" s="60"/>
      <c r="F29" s="60"/>
      <c r="G29" s="60"/>
      <c r="H29" s="61"/>
      <c r="I29" s="61"/>
      <c r="J29" s="61" t="e">
        <f>G29*#REF!</f>
        <v>#REF!</v>
      </c>
    </row>
    <row r="30" spans="2:12" ht="20.100000000000001" hidden="1" customHeight="1">
      <c r="B30" s="59"/>
      <c r="C30" s="60"/>
      <c r="D30" s="60"/>
      <c r="E30" s="60"/>
      <c r="F30" s="60"/>
      <c r="G30" s="60"/>
      <c r="H30" s="61"/>
      <c r="I30" s="61"/>
      <c r="J30" s="61" t="e">
        <f>G30*#REF!</f>
        <v>#REF!</v>
      </c>
    </row>
    <row r="31" spans="2:12" ht="20.100000000000001" hidden="1" customHeight="1">
      <c r="B31" s="59"/>
      <c r="C31" s="60"/>
      <c r="D31" s="60"/>
      <c r="E31" s="60"/>
      <c r="F31" s="60"/>
      <c r="G31" s="60"/>
      <c r="H31" s="61"/>
      <c r="I31" s="61"/>
      <c r="J31" s="61" t="e">
        <f>G31*#REF!</f>
        <v>#REF!</v>
      </c>
    </row>
    <row r="32" spans="2:12" ht="20.100000000000001" hidden="1" customHeight="1">
      <c r="B32" s="59"/>
      <c r="C32" s="60"/>
      <c r="D32" s="60"/>
      <c r="E32" s="60"/>
      <c r="F32" s="60"/>
      <c r="G32" s="60"/>
      <c r="H32" s="61"/>
      <c r="I32" s="61"/>
      <c r="J32" s="61" t="e">
        <f>G32*#REF!</f>
        <v>#REF!</v>
      </c>
    </row>
    <row r="33" spans="2:16" ht="20.100000000000001" hidden="1" customHeight="1">
      <c r="B33" s="59"/>
      <c r="C33" s="60"/>
      <c r="D33" s="60"/>
      <c r="E33" s="60"/>
      <c r="F33" s="60"/>
      <c r="G33" s="60"/>
      <c r="H33" s="61"/>
      <c r="I33" s="61"/>
      <c r="J33" s="61"/>
    </row>
    <row r="34" spans="2:16" ht="24.75" customHeight="1">
      <c r="C34" s="62" t="s">
        <v>306</v>
      </c>
      <c r="D34" s="62"/>
      <c r="E34" s="62"/>
      <c r="F34" s="1"/>
      <c r="G34" s="1"/>
      <c r="H34" s="57"/>
      <c r="I34" s="57"/>
      <c r="J34" s="141">
        <f>SUM(J7:J17)</f>
        <v>32691.5</v>
      </c>
      <c r="L34">
        <v>20892.439999999999</v>
      </c>
    </row>
    <row r="35" spans="2:16">
      <c r="J35" s="54"/>
    </row>
    <row r="36" spans="2:16">
      <c r="B36" t="s">
        <v>331</v>
      </c>
      <c r="J36" s="54" t="s">
        <v>332</v>
      </c>
      <c r="K36" s="54"/>
      <c r="P36" s="263"/>
    </row>
    <row r="37" spans="2:16" ht="3" customHeight="1"/>
    <row r="38" spans="2:16" hidden="1"/>
    <row r="39" spans="2:16" hidden="1"/>
    <row r="40" spans="2:16" hidden="1"/>
    <row r="41" spans="2:16" ht="18.75">
      <c r="B41" s="573" t="s">
        <v>623</v>
      </c>
      <c r="C41" s="573"/>
      <c r="D41" s="573"/>
      <c r="E41" s="573"/>
      <c r="F41" s="573"/>
      <c r="G41" s="574"/>
      <c r="H41" s="574"/>
      <c r="I41" s="574"/>
      <c r="J41" s="574"/>
    </row>
    <row r="42" spans="2:16">
      <c r="B42" s="245"/>
      <c r="C42" s="245"/>
      <c r="D42" s="245"/>
      <c r="E42" s="245"/>
      <c r="F42" s="245"/>
      <c r="G42" s="245"/>
      <c r="H42" s="245"/>
      <c r="I42" s="245"/>
      <c r="J42" s="245"/>
    </row>
    <row r="43" spans="2:16" ht="38.25" customHeight="1">
      <c r="B43" s="56"/>
      <c r="C43" s="586" t="s">
        <v>257</v>
      </c>
      <c r="D43" s="587"/>
      <c r="E43" s="588"/>
      <c r="F43" s="56" t="s">
        <v>300</v>
      </c>
      <c r="G43" s="56" t="s">
        <v>299</v>
      </c>
      <c r="H43" s="56" t="s">
        <v>323</v>
      </c>
      <c r="I43" s="56" t="s">
        <v>392</v>
      </c>
      <c r="J43" s="56" t="s">
        <v>396</v>
      </c>
    </row>
    <row r="44" spans="2:16" ht="58.5" customHeight="1">
      <c r="B44" s="590">
        <v>1</v>
      </c>
      <c r="C44" s="589" t="s">
        <v>633</v>
      </c>
      <c r="D44" s="576"/>
      <c r="E44" s="577"/>
      <c r="F44" s="56"/>
      <c r="G44" s="56"/>
      <c r="H44" s="56"/>
      <c r="I44" s="56"/>
      <c r="J44" s="56"/>
    </row>
    <row r="45" spans="2:16" ht="27.75" customHeight="1">
      <c r="B45" s="591"/>
      <c r="C45" s="586" t="s">
        <v>634</v>
      </c>
      <c r="D45" s="587"/>
      <c r="E45" s="588"/>
      <c r="F45" s="88"/>
      <c r="G45" s="94"/>
      <c r="H45" s="86"/>
      <c r="I45" s="138"/>
      <c r="J45" s="86"/>
    </row>
    <row r="46" spans="2:16" ht="23.25" customHeight="1">
      <c r="B46" s="591"/>
      <c r="C46" s="593" t="s">
        <v>635</v>
      </c>
      <c r="D46" s="594"/>
      <c r="E46" s="595"/>
      <c r="F46" s="88" t="s">
        <v>303</v>
      </c>
      <c r="G46" s="315">
        <v>1</v>
      </c>
      <c r="H46" s="316">
        <v>1525.2</v>
      </c>
      <c r="I46" s="317" t="s">
        <v>637</v>
      </c>
      <c r="J46" s="316">
        <f>H46/6*G46</f>
        <v>254.20000000000002</v>
      </c>
      <c r="L46" s="318"/>
    </row>
    <row r="47" spans="2:16" ht="38.25" customHeight="1">
      <c r="B47" s="592"/>
      <c r="C47" s="593" t="s">
        <v>636</v>
      </c>
      <c r="D47" s="594"/>
      <c r="E47" s="595"/>
      <c r="F47" s="88" t="s">
        <v>303</v>
      </c>
      <c r="G47" s="315">
        <v>1</v>
      </c>
      <c r="H47" s="316">
        <v>1525.2</v>
      </c>
      <c r="I47" s="317" t="s">
        <v>637</v>
      </c>
      <c r="J47" s="316">
        <f>H47/6*G47</f>
        <v>254.20000000000002</v>
      </c>
    </row>
    <row r="48" spans="2:16" ht="15.75">
      <c r="B48" s="245"/>
      <c r="C48" s="62" t="s">
        <v>306</v>
      </c>
      <c r="D48" s="62"/>
      <c r="E48" s="62"/>
      <c r="F48" s="185"/>
      <c r="G48" s="185"/>
      <c r="H48" s="57"/>
      <c r="I48" s="57"/>
      <c r="J48" s="141">
        <f>J46+J47</f>
        <v>508.40000000000003</v>
      </c>
    </row>
    <row r="49" spans="2:10" ht="15">
      <c r="H49" s="319" t="s">
        <v>638</v>
      </c>
      <c r="I49" s="320"/>
      <c r="J49" s="321">
        <f>J48+J34</f>
        <v>33199.9</v>
      </c>
    </row>
    <row r="50" spans="2:10" ht="15.75">
      <c r="B50" s="245"/>
      <c r="C50" s="62"/>
      <c r="D50" s="62"/>
      <c r="E50" s="62"/>
      <c r="F50" s="185"/>
      <c r="G50" s="185"/>
      <c r="H50" s="57"/>
      <c r="I50" s="57"/>
      <c r="J50" s="141"/>
    </row>
  </sheetData>
  <mergeCells count="22">
    <mergeCell ref="C14:E14"/>
    <mergeCell ref="C15:E15"/>
    <mergeCell ref="C16:E16"/>
    <mergeCell ref="C17:E17"/>
    <mergeCell ref="C9:D9"/>
    <mergeCell ref="C10:D10"/>
    <mergeCell ref="C11:D11"/>
    <mergeCell ref="C12:E12"/>
    <mergeCell ref="C13:E13"/>
    <mergeCell ref="B3:J3"/>
    <mergeCell ref="C6:E6"/>
    <mergeCell ref="C5:E5"/>
    <mergeCell ref="C7:D7"/>
    <mergeCell ref="C8:D8"/>
    <mergeCell ref="B6:B11"/>
    <mergeCell ref="B41:J41"/>
    <mergeCell ref="C43:E43"/>
    <mergeCell ref="C44:E44"/>
    <mergeCell ref="B44:B47"/>
    <mergeCell ref="C45:E45"/>
    <mergeCell ref="C46:E46"/>
    <mergeCell ref="C47:E47"/>
  </mergeCells>
  <pageMargins left="0.25" right="0.25" top="0.75" bottom="0.75" header="0.3" footer="0.3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B1:G84"/>
  <sheetViews>
    <sheetView topLeftCell="A61" workbookViewId="0">
      <selection activeCell="B19" sqref="B19:J19"/>
    </sheetView>
  </sheetViews>
  <sheetFormatPr defaultRowHeight="12.75"/>
  <cols>
    <col min="1" max="1" width="1.7109375" style="245" customWidth="1"/>
    <col min="2" max="2" width="4.28515625" style="245" customWidth="1"/>
    <col min="3" max="3" width="56.140625" style="245" customWidth="1"/>
    <col min="4" max="4" width="5.5703125" style="245" customWidth="1"/>
    <col min="5" max="5" width="10.140625" style="245" customWidth="1"/>
    <col min="6" max="6" width="9.140625" style="245" customWidth="1"/>
    <col min="7" max="7" width="11.28515625" style="245" customWidth="1"/>
    <col min="8" max="16384" width="9.140625" style="245"/>
  </cols>
  <sheetData>
    <row r="1" spans="2:7" ht="9" customHeight="1"/>
    <row r="2" spans="2:7" ht="15" customHeight="1">
      <c r="B2" s="573" t="s">
        <v>578</v>
      </c>
      <c r="C2" s="612"/>
      <c r="D2" s="612"/>
      <c r="E2" s="613"/>
      <c r="F2" s="613"/>
      <c r="G2" s="613"/>
    </row>
    <row r="3" spans="2:7" ht="15" customHeight="1">
      <c r="B3" s="573" t="s">
        <v>579</v>
      </c>
      <c r="C3" s="612"/>
      <c r="D3" s="612"/>
      <c r="E3" s="613"/>
      <c r="F3" s="613"/>
      <c r="G3" s="613"/>
    </row>
    <row r="4" spans="2:7" ht="36" customHeight="1">
      <c r="B4" s="573" t="s">
        <v>577</v>
      </c>
      <c r="C4" s="612"/>
      <c r="D4" s="612"/>
      <c r="E4" s="613"/>
      <c r="F4" s="613"/>
      <c r="G4" s="613"/>
    </row>
    <row r="5" spans="2:7" ht="15" customHeight="1">
      <c r="B5" s="573" t="s">
        <v>639</v>
      </c>
      <c r="C5" s="612"/>
      <c r="D5" s="612"/>
      <c r="E5" s="613"/>
      <c r="F5" s="613"/>
      <c r="G5" s="613"/>
    </row>
    <row r="6" spans="2:7" ht="10.5" customHeight="1"/>
    <row r="7" spans="2:7" ht="26.25" customHeight="1">
      <c r="B7" s="285" t="s">
        <v>7</v>
      </c>
      <c r="C7" s="285" t="s">
        <v>257</v>
      </c>
      <c r="D7" s="285" t="s">
        <v>300</v>
      </c>
      <c r="E7" s="285" t="s">
        <v>299</v>
      </c>
      <c r="F7" s="285" t="s">
        <v>301</v>
      </c>
      <c r="G7" s="285" t="s">
        <v>302</v>
      </c>
    </row>
    <row r="8" spans="2:7">
      <c r="B8" s="304">
        <v>1</v>
      </c>
      <c r="C8" s="304">
        <v>2</v>
      </c>
      <c r="D8" s="304">
        <v>3</v>
      </c>
      <c r="E8" s="304">
        <v>4</v>
      </c>
      <c r="F8" s="304">
        <v>5</v>
      </c>
      <c r="G8" s="304">
        <v>6</v>
      </c>
    </row>
    <row r="9" spans="2:7" ht="20.100000000000001" customHeight="1">
      <c r="B9" s="610" t="s">
        <v>601</v>
      </c>
      <c r="C9" s="611"/>
      <c r="D9" s="611"/>
      <c r="E9" s="611"/>
      <c r="F9" s="611"/>
      <c r="G9" s="298">
        <f>SUM(G10:G60)</f>
        <v>4765.8500000000004</v>
      </c>
    </row>
    <row r="10" spans="2:7" ht="20.100000000000001" customHeight="1">
      <c r="B10" s="279">
        <v>1</v>
      </c>
      <c r="C10" s="291" t="s">
        <v>473</v>
      </c>
      <c r="D10" s="286" t="s">
        <v>472</v>
      </c>
      <c r="E10" s="286">
        <v>18</v>
      </c>
      <c r="F10" s="292">
        <v>82.5</v>
      </c>
      <c r="G10" s="293">
        <f>E10*F10</f>
        <v>1485</v>
      </c>
    </row>
    <row r="11" spans="2:7" ht="20.100000000000001" customHeight="1">
      <c r="B11" s="279">
        <v>2</v>
      </c>
      <c r="C11" s="291" t="s">
        <v>474</v>
      </c>
      <c r="D11" s="286" t="s">
        <v>303</v>
      </c>
      <c r="E11" s="286">
        <v>4</v>
      </c>
      <c r="F11" s="292">
        <v>40</v>
      </c>
      <c r="G11" s="293">
        <f t="shared" ref="G11:G60" si="0">E11*F11</f>
        <v>160</v>
      </c>
    </row>
    <row r="12" spans="2:7" ht="20.100000000000001" customHeight="1">
      <c r="B12" s="279">
        <v>3</v>
      </c>
      <c r="C12" s="291" t="s">
        <v>475</v>
      </c>
      <c r="D12" s="286" t="s">
        <v>303</v>
      </c>
      <c r="E12" s="286">
        <v>4</v>
      </c>
      <c r="F12" s="292">
        <v>40</v>
      </c>
      <c r="G12" s="293">
        <f t="shared" si="0"/>
        <v>160</v>
      </c>
    </row>
    <row r="13" spans="2:7" ht="20.100000000000001" customHeight="1">
      <c r="B13" s="279">
        <v>4</v>
      </c>
      <c r="C13" s="291" t="s">
        <v>471</v>
      </c>
      <c r="D13" s="286" t="s">
        <v>472</v>
      </c>
      <c r="E13" s="286">
        <v>6</v>
      </c>
      <c r="F13" s="292">
        <v>50</v>
      </c>
      <c r="G13" s="293">
        <f t="shared" si="0"/>
        <v>300</v>
      </c>
    </row>
    <row r="14" spans="2:7" ht="20.100000000000001" customHeight="1">
      <c r="B14" s="279">
        <v>5</v>
      </c>
      <c r="C14" s="288" t="s">
        <v>477</v>
      </c>
      <c r="D14" s="286" t="s">
        <v>472</v>
      </c>
      <c r="E14" s="286">
        <v>1</v>
      </c>
      <c r="F14" s="292">
        <v>6.6</v>
      </c>
      <c r="G14" s="293">
        <f t="shared" si="0"/>
        <v>6.6</v>
      </c>
    </row>
    <row r="15" spans="2:7" ht="20.100000000000001" customHeight="1">
      <c r="B15" s="279">
        <v>6</v>
      </c>
      <c r="C15" s="288" t="s">
        <v>478</v>
      </c>
      <c r="D15" s="286" t="s">
        <v>472</v>
      </c>
      <c r="E15" s="286">
        <v>1</v>
      </c>
      <c r="F15" s="292">
        <v>15</v>
      </c>
      <c r="G15" s="293">
        <f t="shared" si="0"/>
        <v>15</v>
      </c>
    </row>
    <row r="16" spans="2:7" ht="20.100000000000001" customHeight="1">
      <c r="B16" s="279">
        <v>7</v>
      </c>
      <c r="C16" s="288" t="s">
        <v>479</v>
      </c>
      <c r="D16" s="286" t="s">
        <v>472</v>
      </c>
      <c r="E16" s="286">
        <v>1</v>
      </c>
      <c r="F16" s="292">
        <v>18</v>
      </c>
      <c r="G16" s="293">
        <f t="shared" si="0"/>
        <v>18</v>
      </c>
    </row>
    <row r="17" spans="2:7" ht="20.100000000000001" customHeight="1">
      <c r="B17" s="279">
        <v>8</v>
      </c>
      <c r="C17" s="288" t="s">
        <v>480</v>
      </c>
      <c r="D17" s="286" t="s">
        <v>472</v>
      </c>
      <c r="E17" s="286">
        <v>1</v>
      </c>
      <c r="F17" s="292">
        <v>27</v>
      </c>
      <c r="G17" s="293">
        <f t="shared" si="0"/>
        <v>27</v>
      </c>
    </row>
    <row r="18" spans="2:7" ht="20.100000000000001" customHeight="1">
      <c r="B18" s="279">
        <v>9</v>
      </c>
      <c r="C18" s="288" t="s">
        <v>481</v>
      </c>
      <c r="D18" s="286" t="s">
        <v>472</v>
      </c>
      <c r="E18" s="286">
        <v>1</v>
      </c>
      <c r="F18" s="292">
        <v>48</v>
      </c>
      <c r="G18" s="293">
        <f t="shared" si="0"/>
        <v>48</v>
      </c>
    </row>
    <row r="19" spans="2:7" ht="20.100000000000001" customHeight="1">
      <c r="B19" s="279">
        <v>10</v>
      </c>
      <c r="C19" s="280" t="s">
        <v>482</v>
      </c>
      <c r="D19" s="286" t="s">
        <v>303</v>
      </c>
      <c r="E19" s="286">
        <v>10</v>
      </c>
      <c r="F19" s="292">
        <v>8.75</v>
      </c>
      <c r="G19" s="293">
        <f t="shared" si="0"/>
        <v>87.5</v>
      </c>
    </row>
    <row r="20" spans="2:7" ht="20.100000000000001" customHeight="1">
      <c r="B20" s="279">
        <v>11</v>
      </c>
      <c r="C20" s="280" t="s">
        <v>304</v>
      </c>
      <c r="D20" s="286" t="s">
        <v>303</v>
      </c>
      <c r="E20" s="286">
        <v>10</v>
      </c>
      <c r="F20" s="292">
        <v>6.5</v>
      </c>
      <c r="G20" s="293">
        <f t="shared" si="0"/>
        <v>65</v>
      </c>
    </row>
    <row r="21" spans="2:7" ht="20.100000000000001" customHeight="1">
      <c r="B21" s="279">
        <v>12</v>
      </c>
      <c r="C21" s="280" t="s">
        <v>483</v>
      </c>
      <c r="D21" s="286" t="s">
        <v>303</v>
      </c>
      <c r="E21" s="286">
        <v>1</v>
      </c>
      <c r="F21" s="292">
        <v>70</v>
      </c>
      <c r="G21" s="293">
        <f t="shared" si="0"/>
        <v>70</v>
      </c>
    </row>
    <row r="22" spans="2:7" ht="20.100000000000001" customHeight="1">
      <c r="B22" s="279">
        <v>13</v>
      </c>
      <c r="C22" s="280" t="s">
        <v>484</v>
      </c>
      <c r="D22" s="286" t="s">
        <v>303</v>
      </c>
      <c r="E22" s="286">
        <v>2</v>
      </c>
      <c r="F22" s="292">
        <v>43</v>
      </c>
      <c r="G22" s="293">
        <f t="shared" si="0"/>
        <v>86</v>
      </c>
    </row>
    <row r="23" spans="2:7" ht="20.100000000000001" customHeight="1">
      <c r="B23" s="279">
        <v>14</v>
      </c>
      <c r="C23" s="280" t="s">
        <v>515</v>
      </c>
      <c r="D23" s="286" t="s">
        <v>303</v>
      </c>
      <c r="E23" s="286">
        <v>3</v>
      </c>
      <c r="F23" s="292">
        <v>37.5</v>
      </c>
      <c r="G23" s="293">
        <f t="shared" si="0"/>
        <v>112.5</v>
      </c>
    </row>
    <row r="24" spans="2:7" ht="20.100000000000001" customHeight="1">
      <c r="B24" s="279">
        <v>15</v>
      </c>
      <c r="C24" s="280" t="s">
        <v>485</v>
      </c>
      <c r="D24" s="286" t="s">
        <v>303</v>
      </c>
      <c r="E24" s="286">
        <v>1</v>
      </c>
      <c r="F24" s="292">
        <v>225</v>
      </c>
      <c r="G24" s="293">
        <f t="shared" si="0"/>
        <v>225</v>
      </c>
    </row>
    <row r="25" spans="2:7" ht="20.100000000000001" customHeight="1">
      <c r="B25" s="279">
        <v>16</v>
      </c>
      <c r="C25" s="280" t="s">
        <v>487</v>
      </c>
      <c r="D25" s="286" t="s">
        <v>303</v>
      </c>
      <c r="E25" s="286">
        <v>2</v>
      </c>
      <c r="F25" s="292">
        <v>6.5</v>
      </c>
      <c r="G25" s="293">
        <f t="shared" si="0"/>
        <v>13</v>
      </c>
    </row>
    <row r="26" spans="2:7" ht="20.100000000000001" customHeight="1">
      <c r="B26" s="279">
        <v>17</v>
      </c>
      <c r="C26" s="280" t="s">
        <v>486</v>
      </c>
      <c r="D26" s="286" t="s">
        <v>303</v>
      </c>
      <c r="E26" s="286">
        <v>4</v>
      </c>
      <c r="F26" s="292">
        <v>13.25</v>
      </c>
      <c r="G26" s="293">
        <f t="shared" si="0"/>
        <v>53</v>
      </c>
    </row>
    <row r="27" spans="2:7" ht="20.100000000000001" customHeight="1">
      <c r="B27" s="279">
        <v>18</v>
      </c>
      <c r="C27" s="280" t="s">
        <v>561</v>
      </c>
      <c r="D27" s="286" t="s">
        <v>303</v>
      </c>
      <c r="E27" s="286">
        <v>2</v>
      </c>
      <c r="F27" s="292">
        <v>27.75</v>
      </c>
      <c r="G27" s="293">
        <f t="shared" si="0"/>
        <v>55.5</v>
      </c>
    </row>
    <row r="28" spans="2:7" ht="20.100000000000001" customHeight="1">
      <c r="B28" s="279">
        <v>19</v>
      </c>
      <c r="C28" s="280" t="s">
        <v>552</v>
      </c>
      <c r="D28" s="286" t="s">
        <v>303</v>
      </c>
      <c r="E28" s="286">
        <v>100</v>
      </c>
      <c r="F28" s="292">
        <v>0.5</v>
      </c>
      <c r="G28" s="293">
        <f t="shared" si="0"/>
        <v>50</v>
      </c>
    </row>
    <row r="29" spans="2:7" ht="20.100000000000001" customHeight="1">
      <c r="B29" s="279">
        <v>20</v>
      </c>
      <c r="C29" s="280" t="s">
        <v>488</v>
      </c>
      <c r="D29" s="286" t="s">
        <v>303</v>
      </c>
      <c r="E29" s="286">
        <v>50</v>
      </c>
      <c r="F29" s="292">
        <v>2</v>
      </c>
      <c r="G29" s="293">
        <f t="shared" si="0"/>
        <v>100</v>
      </c>
    </row>
    <row r="30" spans="2:7" ht="20.100000000000001" customHeight="1">
      <c r="B30" s="279">
        <v>21</v>
      </c>
      <c r="C30" s="280" t="s">
        <v>489</v>
      </c>
      <c r="D30" s="286" t="s">
        <v>303</v>
      </c>
      <c r="E30" s="286">
        <v>100</v>
      </c>
      <c r="F30" s="292">
        <v>0.75</v>
      </c>
      <c r="G30" s="293">
        <f t="shared" si="0"/>
        <v>75</v>
      </c>
    </row>
    <row r="31" spans="2:7" ht="20.100000000000001" customHeight="1">
      <c r="B31" s="279">
        <v>22</v>
      </c>
      <c r="C31" s="280" t="s">
        <v>553</v>
      </c>
      <c r="D31" s="286" t="s">
        <v>303</v>
      </c>
      <c r="E31" s="286">
        <v>2</v>
      </c>
      <c r="F31" s="292">
        <v>11.25</v>
      </c>
      <c r="G31" s="293">
        <f t="shared" si="0"/>
        <v>22.5</v>
      </c>
    </row>
    <row r="32" spans="2:7" ht="20.100000000000001" customHeight="1">
      <c r="B32" s="279">
        <v>23</v>
      </c>
      <c r="C32" s="280" t="s">
        <v>554</v>
      </c>
      <c r="D32" s="286" t="s">
        <v>303</v>
      </c>
      <c r="E32" s="286">
        <v>2</v>
      </c>
      <c r="F32" s="292">
        <v>15</v>
      </c>
      <c r="G32" s="293">
        <f t="shared" si="0"/>
        <v>30</v>
      </c>
    </row>
    <row r="33" spans="2:7" ht="20.100000000000001" customHeight="1">
      <c r="B33" s="279">
        <v>24</v>
      </c>
      <c r="C33" s="280" t="s">
        <v>551</v>
      </c>
      <c r="D33" s="286" t="s">
        <v>303</v>
      </c>
      <c r="E33" s="286">
        <v>2</v>
      </c>
      <c r="F33" s="292">
        <v>34.5</v>
      </c>
      <c r="G33" s="293">
        <f t="shared" si="0"/>
        <v>69</v>
      </c>
    </row>
    <row r="34" spans="2:7" ht="20.100000000000001" customHeight="1">
      <c r="B34" s="279">
        <v>25</v>
      </c>
      <c r="C34" s="280" t="s">
        <v>491</v>
      </c>
      <c r="D34" s="286" t="s">
        <v>303</v>
      </c>
      <c r="E34" s="286">
        <v>2</v>
      </c>
      <c r="F34" s="292">
        <v>87.5</v>
      </c>
      <c r="G34" s="293">
        <f t="shared" si="0"/>
        <v>175</v>
      </c>
    </row>
    <row r="35" spans="2:7" ht="20.100000000000001" customHeight="1">
      <c r="B35" s="279">
        <v>26</v>
      </c>
      <c r="C35" s="280" t="s">
        <v>490</v>
      </c>
      <c r="D35" s="286" t="s">
        <v>303</v>
      </c>
      <c r="E35" s="286">
        <v>2</v>
      </c>
      <c r="F35" s="292">
        <v>3.25</v>
      </c>
      <c r="G35" s="293">
        <f t="shared" si="0"/>
        <v>6.5</v>
      </c>
    </row>
    <row r="36" spans="2:7" ht="20.100000000000001" customHeight="1">
      <c r="B36" s="279">
        <v>27</v>
      </c>
      <c r="C36" s="280" t="s">
        <v>492</v>
      </c>
      <c r="D36" s="286" t="s">
        <v>303</v>
      </c>
      <c r="E36" s="286">
        <v>10</v>
      </c>
      <c r="F36" s="292">
        <v>10.25</v>
      </c>
      <c r="G36" s="293">
        <f t="shared" si="0"/>
        <v>102.5</v>
      </c>
    </row>
    <row r="37" spans="2:7" ht="20.100000000000001" customHeight="1">
      <c r="B37" s="279">
        <v>28</v>
      </c>
      <c r="C37" s="280" t="s">
        <v>493</v>
      </c>
      <c r="D37" s="286" t="s">
        <v>303</v>
      </c>
      <c r="E37" s="286">
        <v>4</v>
      </c>
      <c r="F37" s="292">
        <v>12</v>
      </c>
      <c r="G37" s="293">
        <f t="shared" si="0"/>
        <v>48</v>
      </c>
    </row>
    <row r="38" spans="2:7" ht="20.100000000000001" customHeight="1">
      <c r="B38" s="279">
        <v>29</v>
      </c>
      <c r="C38" s="280" t="s">
        <v>494</v>
      </c>
      <c r="D38" s="286" t="s">
        <v>303</v>
      </c>
      <c r="E38" s="286">
        <v>2</v>
      </c>
      <c r="F38" s="292">
        <v>14</v>
      </c>
      <c r="G38" s="293">
        <f t="shared" si="0"/>
        <v>28</v>
      </c>
    </row>
    <row r="39" spans="2:7" ht="20.100000000000001" customHeight="1">
      <c r="B39" s="279">
        <v>30</v>
      </c>
      <c r="C39" s="280" t="s">
        <v>555</v>
      </c>
      <c r="D39" s="286" t="s">
        <v>303</v>
      </c>
      <c r="E39" s="286">
        <v>2</v>
      </c>
      <c r="F39" s="292">
        <v>22.5</v>
      </c>
      <c r="G39" s="293">
        <f t="shared" si="0"/>
        <v>45</v>
      </c>
    </row>
    <row r="40" spans="2:7" ht="20.100000000000001" customHeight="1">
      <c r="B40" s="279">
        <v>31</v>
      </c>
      <c r="C40" s="280" t="s">
        <v>556</v>
      </c>
      <c r="D40" s="286" t="s">
        <v>303</v>
      </c>
      <c r="E40" s="286">
        <v>20</v>
      </c>
      <c r="F40" s="292">
        <v>2</v>
      </c>
      <c r="G40" s="293">
        <f t="shared" si="0"/>
        <v>40</v>
      </c>
    </row>
    <row r="41" spans="2:7" ht="20.100000000000001" customHeight="1">
      <c r="B41" s="279">
        <v>32</v>
      </c>
      <c r="C41" s="280" t="s">
        <v>495</v>
      </c>
      <c r="D41" s="286" t="s">
        <v>472</v>
      </c>
      <c r="E41" s="286">
        <v>4</v>
      </c>
      <c r="F41" s="292">
        <v>25.75</v>
      </c>
      <c r="G41" s="293">
        <f t="shared" si="0"/>
        <v>103</v>
      </c>
    </row>
    <row r="42" spans="2:7" ht="20.100000000000001" customHeight="1">
      <c r="B42" s="279">
        <v>33</v>
      </c>
      <c r="C42" s="288" t="s">
        <v>498</v>
      </c>
      <c r="D42" s="286" t="s">
        <v>303</v>
      </c>
      <c r="E42" s="286">
        <v>10</v>
      </c>
      <c r="F42" s="292">
        <v>3.75</v>
      </c>
      <c r="G42" s="293">
        <f t="shared" si="0"/>
        <v>37.5</v>
      </c>
    </row>
    <row r="43" spans="2:7" ht="20.100000000000001" customHeight="1">
      <c r="B43" s="279">
        <v>34</v>
      </c>
      <c r="C43" s="280" t="s">
        <v>557</v>
      </c>
      <c r="D43" s="286" t="s">
        <v>303</v>
      </c>
      <c r="E43" s="286">
        <v>5</v>
      </c>
      <c r="F43" s="292">
        <v>15</v>
      </c>
      <c r="G43" s="293">
        <f t="shared" si="0"/>
        <v>75</v>
      </c>
    </row>
    <row r="44" spans="2:7" ht="20.100000000000001" customHeight="1">
      <c r="B44" s="279">
        <v>35</v>
      </c>
      <c r="C44" s="280" t="s">
        <v>496</v>
      </c>
      <c r="D44" s="286" t="s">
        <v>303</v>
      </c>
      <c r="E44" s="286">
        <v>5</v>
      </c>
      <c r="F44" s="292">
        <v>6</v>
      </c>
      <c r="G44" s="293">
        <f t="shared" si="0"/>
        <v>30</v>
      </c>
    </row>
    <row r="45" spans="2:7" ht="20.100000000000001" customHeight="1">
      <c r="B45" s="279">
        <v>36</v>
      </c>
      <c r="C45" s="280" t="s">
        <v>497</v>
      </c>
      <c r="D45" s="286" t="s">
        <v>303</v>
      </c>
      <c r="E45" s="286">
        <v>10</v>
      </c>
      <c r="F45" s="292">
        <v>3.25</v>
      </c>
      <c r="G45" s="293">
        <f t="shared" si="0"/>
        <v>32.5</v>
      </c>
    </row>
    <row r="46" spans="2:7" ht="20.100000000000001" customHeight="1">
      <c r="B46" s="279">
        <v>37</v>
      </c>
      <c r="C46" s="280" t="s">
        <v>560</v>
      </c>
      <c r="D46" s="286" t="s">
        <v>303</v>
      </c>
      <c r="E46" s="286">
        <v>2</v>
      </c>
      <c r="F46" s="292">
        <v>30</v>
      </c>
      <c r="G46" s="293">
        <f t="shared" si="0"/>
        <v>60</v>
      </c>
    </row>
    <row r="47" spans="2:7" ht="20.100000000000001" customHeight="1">
      <c r="B47" s="279">
        <v>38</v>
      </c>
      <c r="C47" s="280" t="s">
        <v>499</v>
      </c>
      <c r="D47" s="286" t="s">
        <v>303</v>
      </c>
      <c r="E47" s="286">
        <v>20</v>
      </c>
      <c r="F47" s="292">
        <v>2</v>
      </c>
      <c r="G47" s="293">
        <f t="shared" si="0"/>
        <v>40</v>
      </c>
    </row>
    <row r="48" spans="2:7" ht="20.100000000000001" customHeight="1">
      <c r="B48" s="279">
        <v>39</v>
      </c>
      <c r="C48" s="280" t="s">
        <v>505</v>
      </c>
      <c r="D48" s="286" t="s">
        <v>303</v>
      </c>
      <c r="E48" s="286">
        <v>10</v>
      </c>
      <c r="F48" s="292">
        <v>4</v>
      </c>
      <c r="G48" s="293">
        <f t="shared" si="0"/>
        <v>40</v>
      </c>
    </row>
    <row r="49" spans="2:7" ht="20.100000000000001" customHeight="1">
      <c r="B49" s="279">
        <v>40</v>
      </c>
      <c r="C49" s="280" t="s">
        <v>562</v>
      </c>
      <c r="D49" s="286" t="s">
        <v>472</v>
      </c>
      <c r="E49" s="286">
        <v>2</v>
      </c>
      <c r="F49" s="292">
        <v>62.5</v>
      </c>
      <c r="G49" s="293">
        <f t="shared" si="0"/>
        <v>125</v>
      </c>
    </row>
    <row r="50" spans="2:7" ht="20.100000000000001" customHeight="1">
      <c r="B50" s="279">
        <v>41</v>
      </c>
      <c r="C50" s="280" t="s">
        <v>500</v>
      </c>
      <c r="D50" s="286" t="s">
        <v>472</v>
      </c>
      <c r="E50" s="286">
        <v>4</v>
      </c>
      <c r="F50" s="292">
        <v>3</v>
      </c>
      <c r="G50" s="293">
        <f t="shared" si="0"/>
        <v>12</v>
      </c>
    </row>
    <row r="51" spans="2:7" ht="20.100000000000001" customHeight="1">
      <c r="B51" s="279">
        <v>42</v>
      </c>
      <c r="C51" s="280" t="s">
        <v>501</v>
      </c>
      <c r="D51" s="286" t="s">
        <v>472</v>
      </c>
      <c r="E51" s="286">
        <v>4</v>
      </c>
      <c r="F51" s="292">
        <v>5</v>
      </c>
      <c r="G51" s="293">
        <f t="shared" si="0"/>
        <v>20</v>
      </c>
    </row>
    <row r="52" spans="2:7" ht="20.100000000000001" customHeight="1">
      <c r="B52" s="279">
        <v>43</v>
      </c>
      <c r="C52" s="280" t="s">
        <v>563</v>
      </c>
      <c r="D52" s="286" t="s">
        <v>472</v>
      </c>
      <c r="E52" s="286">
        <v>4</v>
      </c>
      <c r="F52" s="292">
        <v>5.5</v>
      </c>
      <c r="G52" s="293">
        <f t="shared" si="0"/>
        <v>22</v>
      </c>
    </row>
    <row r="53" spans="2:7" ht="20.100000000000001" customHeight="1">
      <c r="B53" s="279">
        <v>44</v>
      </c>
      <c r="C53" s="280" t="s">
        <v>504</v>
      </c>
      <c r="D53" s="286" t="s">
        <v>472</v>
      </c>
      <c r="E53" s="286">
        <v>2</v>
      </c>
      <c r="F53" s="292">
        <v>19</v>
      </c>
      <c r="G53" s="293">
        <f t="shared" si="0"/>
        <v>38</v>
      </c>
    </row>
    <row r="54" spans="2:7" ht="20.100000000000001" customHeight="1">
      <c r="B54" s="279">
        <v>45</v>
      </c>
      <c r="C54" s="280" t="s">
        <v>564</v>
      </c>
      <c r="D54" s="286" t="s">
        <v>303</v>
      </c>
      <c r="E54" s="286">
        <v>40</v>
      </c>
      <c r="F54" s="292">
        <v>0.75</v>
      </c>
      <c r="G54" s="293">
        <f t="shared" si="0"/>
        <v>30</v>
      </c>
    </row>
    <row r="55" spans="2:7" ht="20.100000000000001" customHeight="1">
      <c r="B55" s="279">
        <v>46</v>
      </c>
      <c r="C55" s="280" t="s">
        <v>503</v>
      </c>
      <c r="D55" s="286" t="s">
        <v>303</v>
      </c>
      <c r="E55" s="286">
        <v>4</v>
      </c>
      <c r="F55" s="292">
        <v>18.5</v>
      </c>
      <c r="G55" s="293">
        <f t="shared" si="0"/>
        <v>74</v>
      </c>
    </row>
    <row r="56" spans="2:7" ht="20.100000000000001" customHeight="1">
      <c r="B56" s="279">
        <v>47</v>
      </c>
      <c r="C56" s="280" t="s">
        <v>502</v>
      </c>
      <c r="D56" s="286" t="s">
        <v>303</v>
      </c>
      <c r="E56" s="286">
        <v>4</v>
      </c>
      <c r="F56" s="292">
        <v>3</v>
      </c>
      <c r="G56" s="293">
        <f t="shared" si="0"/>
        <v>12</v>
      </c>
    </row>
    <row r="57" spans="2:7" ht="20.100000000000001" customHeight="1">
      <c r="B57" s="279">
        <v>48</v>
      </c>
      <c r="C57" s="288" t="s">
        <v>565</v>
      </c>
      <c r="D57" s="286" t="s">
        <v>303</v>
      </c>
      <c r="E57" s="286">
        <v>2</v>
      </c>
      <c r="F57" s="292">
        <v>10</v>
      </c>
      <c r="G57" s="293">
        <f t="shared" si="0"/>
        <v>20</v>
      </c>
    </row>
    <row r="58" spans="2:7" ht="20.100000000000001" customHeight="1">
      <c r="B58" s="279">
        <v>49</v>
      </c>
      <c r="C58" s="288" t="s">
        <v>476</v>
      </c>
      <c r="D58" s="286" t="s">
        <v>303</v>
      </c>
      <c r="E58" s="286">
        <v>20</v>
      </c>
      <c r="F58" s="292">
        <v>3</v>
      </c>
      <c r="G58" s="293">
        <f t="shared" si="0"/>
        <v>60</v>
      </c>
    </row>
    <row r="59" spans="2:7" ht="20.100000000000001" customHeight="1">
      <c r="B59" s="279">
        <v>50</v>
      </c>
      <c r="C59" s="280" t="s">
        <v>559</v>
      </c>
      <c r="D59" s="286" t="s">
        <v>303</v>
      </c>
      <c r="E59" s="286">
        <v>20</v>
      </c>
      <c r="F59" s="292">
        <v>3.25</v>
      </c>
      <c r="G59" s="293">
        <f t="shared" si="0"/>
        <v>65</v>
      </c>
    </row>
    <row r="60" spans="2:7" ht="20.100000000000001" customHeight="1">
      <c r="B60" s="279">
        <v>51</v>
      </c>
      <c r="C60" s="280" t="s">
        <v>558</v>
      </c>
      <c r="D60" s="286" t="s">
        <v>303</v>
      </c>
      <c r="E60" s="286">
        <v>5</v>
      </c>
      <c r="F60" s="292">
        <v>18.25</v>
      </c>
      <c r="G60" s="293">
        <f t="shared" si="0"/>
        <v>91.25</v>
      </c>
    </row>
    <row r="61" spans="2:7" ht="20.100000000000001" customHeight="1">
      <c r="B61" s="610" t="s">
        <v>602</v>
      </c>
      <c r="C61" s="611"/>
      <c r="D61" s="611"/>
      <c r="E61" s="611"/>
      <c r="F61" s="611"/>
      <c r="G61" s="298">
        <f>SUM(G62:G73)</f>
        <v>1329.5</v>
      </c>
    </row>
    <row r="62" spans="2:7" ht="20.100000000000001" customHeight="1">
      <c r="B62" s="287">
        <v>1</v>
      </c>
      <c r="C62" s="288" t="s">
        <v>566</v>
      </c>
      <c r="D62" s="286" t="s">
        <v>472</v>
      </c>
      <c r="E62" s="286">
        <v>4</v>
      </c>
      <c r="F62" s="292">
        <v>22.5</v>
      </c>
      <c r="G62" s="293">
        <f>E62*F62</f>
        <v>90</v>
      </c>
    </row>
    <row r="63" spans="2:7" ht="20.100000000000001" customHeight="1">
      <c r="B63" s="287">
        <v>2</v>
      </c>
      <c r="C63" s="288" t="s">
        <v>567</v>
      </c>
      <c r="D63" s="286" t="s">
        <v>303</v>
      </c>
      <c r="E63" s="286">
        <v>4</v>
      </c>
      <c r="F63" s="292">
        <v>15.5</v>
      </c>
      <c r="G63" s="293">
        <f t="shared" ref="G63:G73" si="1">E63*F63</f>
        <v>62</v>
      </c>
    </row>
    <row r="64" spans="2:7" ht="20.100000000000001" customHeight="1">
      <c r="B64" s="287">
        <v>3</v>
      </c>
      <c r="C64" s="288" t="s">
        <v>568</v>
      </c>
      <c r="D64" s="286" t="s">
        <v>472</v>
      </c>
      <c r="E64" s="286">
        <v>20</v>
      </c>
      <c r="F64" s="292">
        <v>2.75</v>
      </c>
      <c r="G64" s="293">
        <f t="shared" si="1"/>
        <v>55</v>
      </c>
    </row>
    <row r="65" spans="2:7" ht="20.100000000000001" customHeight="1">
      <c r="B65" s="287">
        <v>4</v>
      </c>
      <c r="C65" s="288" t="s">
        <v>569</v>
      </c>
      <c r="D65" s="286" t="s">
        <v>303</v>
      </c>
      <c r="E65" s="286">
        <v>4</v>
      </c>
      <c r="F65" s="292">
        <v>15.5</v>
      </c>
      <c r="G65" s="293">
        <f t="shared" si="1"/>
        <v>62</v>
      </c>
    </row>
    <row r="66" spans="2:7" ht="20.100000000000001" customHeight="1">
      <c r="B66" s="287">
        <v>5</v>
      </c>
      <c r="C66" s="288" t="s">
        <v>507</v>
      </c>
      <c r="D66" s="286" t="s">
        <v>303</v>
      </c>
      <c r="E66" s="286">
        <v>6</v>
      </c>
      <c r="F66" s="292">
        <v>20.75</v>
      </c>
      <c r="G66" s="293">
        <f t="shared" si="1"/>
        <v>124.5</v>
      </c>
    </row>
    <row r="67" spans="2:7" ht="20.100000000000001" customHeight="1">
      <c r="B67" s="287">
        <v>6</v>
      </c>
      <c r="C67" s="288" t="s">
        <v>570</v>
      </c>
      <c r="D67" s="286" t="s">
        <v>303</v>
      </c>
      <c r="E67" s="286">
        <v>4</v>
      </c>
      <c r="F67" s="292">
        <v>17.5</v>
      </c>
      <c r="G67" s="293">
        <f t="shared" si="1"/>
        <v>70</v>
      </c>
    </row>
    <row r="68" spans="2:7" ht="20.100000000000001" customHeight="1">
      <c r="B68" s="287">
        <v>7</v>
      </c>
      <c r="C68" s="288" t="s">
        <v>506</v>
      </c>
      <c r="D68" s="286" t="s">
        <v>303</v>
      </c>
      <c r="E68" s="286">
        <v>2</v>
      </c>
      <c r="F68" s="292">
        <v>45</v>
      </c>
      <c r="G68" s="293">
        <f t="shared" si="1"/>
        <v>90</v>
      </c>
    </row>
    <row r="69" spans="2:7" ht="20.100000000000001" customHeight="1">
      <c r="B69" s="287">
        <v>8</v>
      </c>
      <c r="C69" s="288" t="s">
        <v>571</v>
      </c>
      <c r="D69" s="286" t="s">
        <v>472</v>
      </c>
      <c r="E69" s="286">
        <v>20</v>
      </c>
      <c r="F69" s="292">
        <v>11</v>
      </c>
      <c r="G69" s="293">
        <f t="shared" si="1"/>
        <v>220</v>
      </c>
    </row>
    <row r="70" spans="2:7" ht="20.100000000000001" customHeight="1">
      <c r="B70" s="287">
        <v>9</v>
      </c>
      <c r="C70" s="288" t="s">
        <v>572</v>
      </c>
      <c r="D70" s="286" t="s">
        <v>303</v>
      </c>
      <c r="E70" s="286">
        <v>20</v>
      </c>
      <c r="F70" s="292">
        <v>3.75</v>
      </c>
      <c r="G70" s="293">
        <f t="shared" si="1"/>
        <v>75</v>
      </c>
    </row>
    <row r="71" spans="2:7" ht="20.100000000000001" customHeight="1">
      <c r="B71" s="287">
        <v>10</v>
      </c>
      <c r="C71" s="288" t="s">
        <v>573</v>
      </c>
      <c r="D71" s="286" t="s">
        <v>303</v>
      </c>
      <c r="E71" s="286">
        <v>12</v>
      </c>
      <c r="F71" s="292">
        <v>21.5</v>
      </c>
      <c r="G71" s="293">
        <f t="shared" si="1"/>
        <v>258</v>
      </c>
    </row>
    <row r="72" spans="2:7" ht="20.100000000000001" customHeight="1">
      <c r="B72" s="287">
        <v>11</v>
      </c>
      <c r="C72" s="288" t="s">
        <v>574</v>
      </c>
      <c r="D72" s="286" t="s">
        <v>472</v>
      </c>
      <c r="E72" s="286">
        <v>4</v>
      </c>
      <c r="F72" s="292">
        <v>22.75</v>
      </c>
      <c r="G72" s="293">
        <f t="shared" si="1"/>
        <v>91</v>
      </c>
    </row>
    <row r="73" spans="2:7" ht="20.100000000000001" customHeight="1">
      <c r="B73" s="287">
        <v>12</v>
      </c>
      <c r="C73" s="288" t="s">
        <v>575</v>
      </c>
      <c r="D73" s="286" t="s">
        <v>472</v>
      </c>
      <c r="E73" s="286">
        <v>4</v>
      </c>
      <c r="F73" s="292">
        <v>33</v>
      </c>
      <c r="G73" s="293">
        <f t="shared" si="1"/>
        <v>132</v>
      </c>
    </row>
    <row r="74" spans="2:7" ht="20.100000000000001" customHeight="1">
      <c r="B74" s="610" t="s">
        <v>603</v>
      </c>
      <c r="C74" s="611"/>
      <c r="D74" s="611"/>
      <c r="E74" s="611"/>
      <c r="F74" s="611"/>
      <c r="G74" s="298">
        <f>SUM(G75:G81)</f>
        <v>3821</v>
      </c>
    </row>
    <row r="75" spans="2:7" ht="20.100000000000001" customHeight="1">
      <c r="B75" s="287">
        <v>1</v>
      </c>
      <c r="C75" s="280" t="s">
        <v>508</v>
      </c>
      <c r="D75" s="286" t="s">
        <v>303</v>
      </c>
      <c r="E75" s="286">
        <v>1</v>
      </c>
      <c r="F75" s="292">
        <v>187.5</v>
      </c>
      <c r="G75" s="293">
        <f>E75*F75</f>
        <v>187.5</v>
      </c>
    </row>
    <row r="76" spans="2:7" ht="20.100000000000001" customHeight="1">
      <c r="B76" s="287">
        <v>2</v>
      </c>
      <c r="C76" s="280" t="s">
        <v>576</v>
      </c>
      <c r="D76" s="286" t="s">
        <v>303</v>
      </c>
      <c r="E76" s="286">
        <v>1</v>
      </c>
      <c r="F76" s="292">
        <v>300</v>
      </c>
      <c r="G76" s="293">
        <f t="shared" ref="G76:G81" si="2">E76*F76</f>
        <v>300</v>
      </c>
    </row>
    <row r="77" spans="2:7" ht="20.100000000000001" customHeight="1">
      <c r="B77" s="287">
        <v>3</v>
      </c>
      <c r="C77" s="280" t="s">
        <v>510</v>
      </c>
      <c r="D77" s="286" t="s">
        <v>512</v>
      </c>
      <c r="E77" s="299">
        <v>2000</v>
      </c>
      <c r="F77" s="292">
        <v>1.25</v>
      </c>
      <c r="G77" s="293">
        <f t="shared" si="2"/>
        <v>2500</v>
      </c>
    </row>
    <row r="78" spans="2:7" ht="20.100000000000001" customHeight="1">
      <c r="B78" s="287">
        <v>4</v>
      </c>
      <c r="C78" s="280" t="s">
        <v>511</v>
      </c>
      <c r="D78" s="286" t="s">
        <v>303</v>
      </c>
      <c r="E78" s="286">
        <v>2</v>
      </c>
      <c r="F78" s="292">
        <v>64</v>
      </c>
      <c r="G78" s="293">
        <f t="shared" si="2"/>
        <v>128</v>
      </c>
    </row>
    <row r="79" spans="2:7" ht="20.100000000000001" customHeight="1">
      <c r="B79" s="287">
        <v>5</v>
      </c>
      <c r="C79" s="280" t="s">
        <v>509</v>
      </c>
      <c r="D79" s="286" t="s">
        <v>303</v>
      </c>
      <c r="E79" s="286">
        <v>1</v>
      </c>
      <c r="F79" s="292">
        <v>57.5</v>
      </c>
      <c r="G79" s="293">
        <f t="shared" si="2"/>
        <v>57.5</v>
      </c>
    </row>
    <row r="80" spans="2:7" ht="20.100000000000001" customHeight="1">
      <c r="B80" s="287">
        <v>6</v>
      </c>
      <c r="C80" s="280" t="s">
        <v>516</v>
      </c>
      <c r="D80" s="286" t="s">
        <v>303</v>
      </c>
      <c r="E80" s="286">
        <v>24</v>
      </c>
      <c r="F80" s="292">
        <v>17</v>
      </c>
      <c r="G80" s="293">
        <f t="shared" si="2"/>
        <v>408</v>
      </c>
    </row>
    <row r="81" spans="2:7" ht="20.100000000000001" customHeight="1" thickBot="1">
      <c r="B81" s="287">
        <v>7</v>
      </c>
      <c r="C81" s="280" t="s">
        <v>513</v>
      </c>
      <c r="D81" s="286" t="s">
        <v>303</v>
      </c>
      <c r="E81" s="286">
        <v>24</v>
      </c>
      <c r="F81" s="292">
        <v>10</v>
      </c>
      <c r="G81" s="293">
        <f t="shared" si="2"/>
        <v>240</v>
      </c>
    </row>
    <row r="82" spans="2:7" ht="24.75" customHeight="1" thickBot="1">
      <c r="B82" s="607" t="s">
        <v>514</v>
      </c>
      <c r="C82" s="608"/>
      <c r="D82" s="608"/>
      <c r="E82" s="608"/>
      <c r="F82" s="609"/>
      <c r="G82" s="290">
        <f>G9+G61+G74</f>
        <v>9916.35</v>
      </c>
    </row>
    <row r="83" spans="2:7" ht="18.75">
      <c r="B83" s="281"/>
      <c r="C83" s="281"/>
      <c r="D83" s="281"/>
      <c r="E83" s="281"/>
    </row>
    <row r="84" spans="2:7" ht="22.5" customHeight="1">
      <c r="B84" s="281" t="s">
        <v>550</v>
      </c>
      <c r="C84" s="281"/>
      <c r="D84" s="283"/>
      <c r="E84" s="283"/>
    </row>
  </sheetData>
  <sortState ref="C12:I58">
    <sortCondition ref="C12"/>
  </sortState>
  <mergeCells count="8">
    <mergeCell ref="B82:F82"/>
    <mergeCell ref="B61:F61"/>
    <mergeCell ref="B74:F74"/>
    <mergeCell ref="B2:G2"/>
    <mergeCell ref="B3:G3"/>
    <mergeCell ref="B4:G4"/>
    <mergeCell ref="B5:G5"/>
    <mergeCell ref="B9:F9"/>
  </mergeCells>
  <pageMargins left="0" right="0" top="0" bottom="0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/>
  </sheetPr>
  <dimension ref="B1:I23"/>
  <sheetViews>
    <sheetView topLeftCell="A16" workbookViewId="0">
      <selection activeCell="B19" sqref="B19:J19"/>
    </sheetView>
  </sheetViews>
  <sheetFormatPr defaultRowHeight="12.75"/>
  <cols>
    <col min="1" max="1" width="1.28515625" customWidth="1"/>
    <col min="2" max="2" width="3.42578125" customWidth="1"/>
    <col min="3" max="3" width="60.42578125" customWidth="1"/>
    <col min="4" max="4" width="4.85546875" customWidth="1"/>
    <col min="5" max="5" width="8.85546875" customWidth="1"/>
    <col min="6" max="6" width="15" customWidth="1"/>
    <col min="7" max="7" width="14.42578125" bestFit="1" customWidth="1"/>
    <col min="8" max="8" width="23.85546875" customWidth="1"/>
  </cols>
  <sheetData>
    <row r="1" spans="2:8">
      <c r="G1" s="50"/>
    </row>
    <row r="2" spans="2:8" s="245" customFormat="1" ht="15" customHeight="1">
      <c r="B2" s="573" t="s">
        <v>578</v>
      </c>
      <c r="C2" s="612"/>
      <c r="D2" s="612"/>
      <c r="E2" s="613"/>
      <c r="F2" s="613"/>
      <c r="G2" s="613"/>
    </row>
    <row r="3" spans="2:8" s="245" customFormat="1" ht="15" customHeight="1">
      <c r="B3" s="573" t="s">
        <v>579</v>
      </c>
      <c r="C3" s="612"/>
      <c r="D3" s="612"/>
      <c r="E3" s="613"/>
      <c r="F3" s="613"/>
      <c r="G3" s="613"/>
    </row>
    <row r="4" spans="2:8" s="245" customFormat="1" ht="36" customHeight="1">
      <c r="B4" s="573" t="s">
        <v>581</v>
      </c>
      <c r="C4" s="612"/>
      <c r="D4" s="612"/>
      <c r="E4" s="613"/>
      <c r="F4" s="613"/>
      <c r="G4" s="613"/>
    </row>
    <row r="5" spans="2:8" s="245" customFormat="1" ht="15" customHeight="1">
      <c r="B5" s="573" t="s">
        <v>639</v>
      </c>
      <c r="C5" s="612"/>
      <c r="D5" s="612"/>
      <c r="E5" s="613"/>
      <c r="F5" s="613"/>
      <c r="G5" s="613"/>
    </row>
    <row r="6" spans="2:8" ht="9" customHeight="1">
      <c r="B6" s="104"/>
      <c r="C6" s="104"/>
      <c r="D6" s="104"/>
      <c r="E6" s="105"/>
      <c r="F6" s="105"/>
      <c r="G6" s="105"/>
    </row>
    <row r="7" spans="2:8" ht="36.75" customHeight="1">
      <c r="B7" s="285" t="s">
        <v>7</v>
      </c>
      <c r="C7" s="285" t="s">
        <v>257</v>
      </c>
      <c r="D7" s="285" t="s">
        <v>300</v>
      </c>
      <c r="E7" s="285" t="s">
        <v>299</v>
      </c>
      <c r="F7" s="285" t="s">
        <v>334</v>
      </c>
      <c r="G7" s="285" t="s">
        <v>582</v>
      </c>
    </row>
    <row r="8" spans="2:8" s="245" customFormat="1">
      <c r="B8" s="304">
        <v>1</v>
      </c>
      <c r="C8" s="304">
        <v>2</v>
      </c>
      <c r="D8" s="304">
        <v>3</v>
      </c>
      <c r="E8" s="304">
        <v>4</v>
      </c>
      <c r="F8" s="304">
        <v>5</v>
      </c>
      <c r="G8" s="304">
        <v>6</v>
      </c>
    </row>
    <row r="9" spans="2:8" ht="20.100000000000001" customHeight="1">
      <c r="B9" s="287">
        <v>1</v>
      </c>
      <c r="C9" s="294" t="s">
        <v>335</v>
      </c>
      <c r="D9" s="286" t="s">
        <v>303</v>
      </c>
      <c r="E9" s="286">
        <v>1</v>
      </c>
      <c r="F9" s="286" t="s">
        <v>24</v>
      </c>
      <c r="G9" s="286" t="s">
        <v>24</v>
      </c>
      <c r="H9" s="303" t="s">
        <v>580</v>
      </c>
    </row>
    <row r="10" spans="2:8" ht="20.100000000000001" customHeight="1">
      <c r="B10" s="287">
        <v>2</v>
      </c>
      <c r="C10" s="294" t="s">
        <v>338</v>
      </c>
      <c r="D10" s="286" t="s">
        <v>303</v>
      </c>
      <c r="E10" s="286">
        <v>1</v>
      </c>
      <c r="F10" s="295" t="s">
        <v>337</v>
      </c>
      <c r="G10" s="286" t="s">
        <v>336</v>
      </c>
    </row>
    <row r="11" spans="2:8" ht="20.100000000000001" customHeight="1">
      <c r="B11" s="287">
        <v>3</v>
      </c>
      <c r="C11" s="294" t="s">
        <v>339</v>
      </c>
      <c r="D11" s="286" t="s">
        <v>303</v>
      </c>
      <c r="E11" s="286">
        <v>1</v>
      </c>
      <c r="F11" s="295" t="s">
        <v>337</v>
      </c>
      <c r="G11" s="286" t="s">
        <v>336</v>
      </c>
    </row>
    <row r="12" spans="2:8" ht="6.75" customHeight="1">
      <c r="B12" s="108"/>
      <c r="C12" s="106"/>
      <c r="D12" s="107"/>
      <c r="E12" s="105"/>
      <c r="F12" s="106"/>
      <c r="G12" s="105"/>
    </row>
    <row r="13" spans="2:8" ht="16.5" customHeight="1">
      <c r="B13" s="300" t="s">
        <v>340</v>
      </c>
      <c r="C13" s="617" t="s">
        <v>341</v>
      </c>
      <c r="D13" s="618"/>
      <c r="E13" s="618"/>
      <c r="F13" s="618"/>
      <c r="G13" s="618"/>
    </row>
    <row r="14" spans="2:8" ht="26.25" customHeight="1"/>
    <row r="15" spans="2:8" ht="23.25" customHeight="1">
      <c r="B15" s="285" t="s">
        <v>7</v>
      </c>
      <c r="C15" s="285" t="s">
        <v>257</v>
      </c>
      <c r="D15" s="285" t="s">
        <v>300</v>
      </c>
      <c r="E15" s="285" t="s">
        <v>299</v>
      </c>
      <c r="F15" s="285" t="s">
        <v>316</v>
      </c>
      <c r="G15" s="285" t="s">
        <v>319</v>
      </c>
    </row>
    <row r="16" spans="2:8" s="245" customFormat="1">
      <c r="B16" s="304">
        <v>1</v>
      </c>
      <c r="C16" s="304">
        <v>2</v>
      </c>
      <c r="D16" s="304">
        <v>3</v>
      </c>
      <c r="E16" s="304">
        <v>4</v>
      </c>
      <c r="F16" s="304">
        <v>5</v>
      </c>
      <c r="G16" s="304">
        <v>6</v>
      </c>
    </row>
    <row r="17" spans="2:9" ht="37.5">
      <c r="B17" s="287">
        <v>1</v>
      </c>
      <c r="C17" s="294" t="s">
        <v>583</v>
      </c>
      <c r="D17" s="286" t="s">
        <v>303</v>
      </c>
      <c r="E17" s="286">
        <v>5</v>
      </c>
      <c r="F17" s="301">
        <f>85-85/6</f>
        <v>70.833333333333329</v>
      </c>
      <c r="G17" s="301">
        <f>E17*F17</f>
        <v>354.16666666666663</v>
      </c>
      <c r="I17">
        <f>79/1.2</f>
        <v>65.833333333333343</v>
      </c>
    </row>
    <row r="18" spans="2:9" ht="37.5">
      <c r="B18" s="287">
        <v>2</v>
      </c>
      <c r="C18" s="294" t="s">
        <v>584</v>
      </c>
      <c r="D18" s="286" t="s">
        <v>303</v>
      </c>
      <c r="E18" s="286">
        <v>1</v>
      </c>
      <c r="F18" s="322">
        <f>195-195/6</f>
        <v>162.5</v>
      </c>
      <c r="G18" s="301">
        <f t="shared" ref="G18:G20" si="0">E18*F18</f>
        <v>162.5</v>
      </c>
    </row>
    <row r="19" spans="2:9" ht="37.5">
      <c r="B19" s="287">
        <v>3</v>
      </c>
      <c r="C19" s="294" t="s">
        <v>585</v>
      </c>
      <c r="D19" s="286" t="s">
        <v>303</v>
      </c>
      <c r="E19" s="286">
        <v>5</v>
      </c>
      <c r="F19" s="301">
        <f>85/1.2</f>
        <v>70.833333333333343</v>
      </c>
      <c r="G19" s="301">
        <f t="shared" si="0"/>
        <v>354.16666666666674</v>
      </c>
    </row>
    <row r="20" spans="2:9" ht="37.5">
      <c r="B20" s="287">
        <v>4</v>
      </c>
      <c r="C20" s="294" t="s">
        <v>584</v>
      </c>
      <c r="D20" s="286" t="s">
        <v>303</v>
      </c>
      <c r="E20" s="286">
        <v>1</v>
      </c>
      <c r="F20" s="322">
        <f>199-199/6</f>
        <v>165.83333333333334</v>
      </c>
      <c r="G20" s="301">
        <f t="shared" si="0"/>
        <v>165.83333333333334</v>
      </c>
    </row>
    <row r="21" spans="2:9" ht="24.75" customHeight="1">
      <c r="B21" s="614" t="s">
        <v>514</v>
      </c>
      <c r="C21" s="615"/>
      <c r="D21" s="615"/>
      <c r="E21" s="615"/>
      <c r="F21" s="616"/>
      <c r="G21" s="302">
        <f>SUM(G17:G20)</f>
        <v>1036.6666666666667</v>
      </c>
    </row>
    <row r="22" spans="2:9" ht="21.75" customHeight="1">
      <c r="F22" s="54"/>
      <c r="G22" s="54"/>
    </row>
    <row r="23" spans="2:9" ht="18.75">
      <c r="B23" s="281" t="s">
        <v>550</v>
      </c>
      <c r="C23" s="281"/>
      <c r="G23" s="54"/>
    </row>
  </sheetData>
  <mergeCells count="6">
    <mergeCell ref="B21:F21"/>
    <mergeCell ref="B2:G2"/>
    <mergeCell ref="B3:G3"/>
    <mergeCell ref="B4:G4"/>
    <mergeCell ref="B5:G5"/>
    <mergeCell ref="C13:G13"/>
  </mergeCells>
  <pageMargins left="0.39370078740157483" right="0.39370078740157483" top="0.39370078740157483" bottom="0.39370078740157483" header="0" footer="0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/>
  </sheetPr>
  <dimension ref="A1:M30"/>
  <sheetViews>
    <sheetView topLeftCell="A18" workbookViewId="0">
      <selection activeCell="B19" sqref="B19:J19"/>
    </sheetView>
  </sheetViews>
  <sheetFormatPr defaultRowHeight="12.75"/>
  <cols>
    <col min="1" max="1" width="1.5703125" customWidth="1"/>
    <col min="2" max="2" width="4.28515625" customWidth="1"/>
    <col min="3" max="3" width="80.28515625" customWidth="1"/>
    <col min="4" max="4" width="13.140625" bestFit="1" customWidth="1"/>
    <col min="5" max="5" width="8.5703125" customWidth="1"/>
    <col min="6" max="6" width="18.28515625" style="245" customWidth="1"/>
    <col min="7" max="7" width="17.140625" style="245" bestFit="1" customWidth="1"/>
    <col min="8" max="8" width="10" style="245" customWidth="1"/>
    <col min="9" max="9" width="8.140625" customWidth="1"/>
    <col min="10" max="10" width="11.28515625" customWidth="1"/>
    <col min="11" max="11" width="12.7109375" bestFit="1" customWidth="1"/>
  </cols>
  <sheetData>
    <row r="1" spans="2:12" ht="15.75" customHeight="1"/>
    <row r="2" spans="2:12" s="245" customFormat="1" ht="15" customHeight="1">
      <c r="B2" s="573" t="s">
        <v>578</v>
      </c>
      <c r="C2" s="612"/>
      <c r="D2" s="612"/>
      <c r="E2" s="613"/>
      <c r="F2" s="613"/>
      <c r="G2" s="613"/>
      <c r="H2" s="613"/>
      <c r="I2" s="613"/>
      <c r="J2" s="613"/>
      <c r="K2" s="613"/>
    </row>
    <row r="3" spans="2:12" s="245" customFormat="1" ht="15" customHeight="1">
      <c r="B3" s="573" t="s">
        <v>579</v>
      </c>
      <c r="C3" s="612"/>
      <c r="D3" s="612"/>
      <c r="E3" s="613"/>
      <c r="F3" s="613"/>
      <c r="G3" s="613"/>
      <c r="H3" s="613"/>
      <c r="I3" s="613"/>
      <c r="J3" s="613"/>
      <c r="K3" s="613"/>
    </row>
    <row r="4" spans="2:12" s="245" customFormat="1" ht="15.75" customHeight="1">
      <c r="B4" s="573" t="s">
        <v>587</v>
      </c>
      <c r="C4" s="612"/>
      <c r="D4" s="612"/>
      <c r="E4" s="613"/>
      <c r="F4" s="613"/>
      <c r="G4" s="613"/>
      <c r="H4" s="613"/>
      <c r="I4" s="613"/>
      <c r="J4" s="613"/>
      <c r="K4" s="613"/>
    </row>
    <row r="5" spans="2:12" s="245" customFormat="1" ht="18.75" customHeight="1">
      <c r="B5" s="573" t="s">
        <v>640</v>
      </c>
      <c r="C5" s="612"/>
      <c r="D5" s="612"/>
      <c r="E5" s="613"/>
      <c r="F5" s="613"/>
      <c r="G5" s="613"/>
      <c r="H5" s="613"/>
      <c r="I5" s="613"/>
      <c r="J5" s="613"/>
      <c r="K5" s="613"/>
    </row>
    <row r="6" spans="2:12" ht="9" customHeight="1"/>
    <row r="7" spans="2:12" ht="45" customHeight="1">
      <c r="B7" s="285" t="s">
        <v>7</v>
      </c>
      <c r="C7" s="285" t="s">
        <v>588</v>
      </c>
      <c r="D7" s="285" t="s">
        <v>0</v>
      </c>
      <c r="E7" s="285" t="s">
        <v>299</v>
      </c>
      <c r="F7" s="285" t="s">
        <v>521</v>
      </c>
      <c r="G7" s="285" t="s">
        <v>517</v>
      </c>
      <c r="H7" s="285" t="s">
        <v>586</v>
      </c>
      <c r="I7" s="285" t="s">
        <v>519</v>
      </c>
      <c r="J7" s="285" t="s">
        <v>518</v>
      </c>
      <c r="K7" s="285" t="s">
        <v>520</v>
      </c>
      <c r="L7" s="53"/>
    </row>
    <row r="8" spans="2:12" s="245" customFormat="1">
      <c r="B8" s="304">
        <v>1</v>
      </c>
      <c r="C8" s="304">
        <v>2</v>
      </c>
      <c r="D8" s="304">
        <v>3</v>
      </c>
      <c r="E8" s="304">
        <v>4</v>
      </c>
      <c r="F8" s="304">
        <v>5</v>
      </c>
      <c r="G8" s="304">
        <v>6</v>
      </c>
      <c r="H8" s="304">
        <v>7</v>
      </c>
      <c r="I8" s="304">
        <v>8</v>
      </c>
      <c r="J8" s="304">
        <v>9</v>
      </c>
      <c r="K8" s="304">
        <v>10</v>
      </c>
      <c r="L8" s="53"/>
    </row>
    <row r="9" spans="2:12" s="245" customFormat="1" ht="20.100000000000001" customHeight="1">
      <c r="B9" s="610" t="s">
        <v>604</v>
      </c>
      <c r="C9" s="619"/>
      <c r="D9" s="619"/>
      <c r="E9" s="619"/>
      <c r="F9" s="619"/>
      <c r="G9" s="619"/>
      <c r="H9" s="619"/>
      <c r="I9" s="619"/>
      <c r="J9" s="619"/>
      <c r="K9" s="307">
        <f>SUM(K10:K12)</f>
        <v>3826.6666666666665</v>
      </c>
      <c r="L9" s="53"/>
    </row>
    <row r="10" spans="2:12" s="245" customFormat="1" ht="18.75">
      <c r="B10" s="287">
        <v>1</v>
      </c>
      <c r="C10" s="288" t="s">
        <v>589</v>
      </c>
      <c r="D10" s="286" t="s">
        <v>590</v>
      </c>
      <c r="E10" s="286">
        <v>1</v>
      </c>
      <c r="F10" s="305" t="s">
        <v>24</v>
      </c>
      <c r="G10" s="305" t="s">
        <v>24</v>
      </c>
      <c r="H10" s="305" t="s">
        <v>24</v>
      </c>
      <c r="I10" s="323">
        <f>K10/J10</f>
        <v>208.33333333333334</v>
      </c>
      <c r="J10" s="324">
        <v>12</v>
      </c>
      <c r="K10" s="323">
        <v>2500</v>
      </c>
      <c r="L10" s="53"/>
    </row>
    <row r="11" spans="2:12" s="245" customFormat="1" ht="18.75">
      <c r="B11" s="287">
        <v>2</v>
      </c>
      <c r="C11" s="288" t="s">
        <v>591</v>
      </c>
      <c r="D11" s="286" t="s">
        <v>527</v>
      </c>
      <c r="E11" s="286">
        <v>12</v>
      </c>
      <c r="F11" s="305" t="s">
        <v>24</v>
      </c>
      <c r="G11" s="305" t="s">
        <v>24</v>
      </c>
      <c r="H11" s="323">
        <v>66</v>
      </c>
      <c r="I11" s="323">
        <f>H11-H11/6</f>
        <v>55</v>
      </c>
      <c r="J11" s="324">
        <v>12</v>
      </c>
      <c r="K11" s="323">
        <f>E11*I11</f>
        <v>660</v>
      </c>
      <c r="L11" s="53"/>
    </row>
    <row r="12" spans="2:12" s="245" customFormat="1" ht="18.75">
      <c r="B12" s="306">
        <v>3</v>
      </c>
      <c r="C12" s="288" t="s">
        <v>592</v>
      </c>
      <c r="D12" s="286" t="s">
        <v>527</v>
      </c>
      <c r="E12" s="286">
        <v>4</v>
      </c>
      <c r="F12" s="305" t="s">
        <v>24</v>
      </c>
      <c r="G12" s="305" t="s">
        <v>24</v>
      </c>
      <c r="H12" s="323">
        <v>200</v>
      </c>
      <c r="I12" s="323">
        <f>H12-H12/6</f>
        <v>166.66666666666666</v>
      </c>
      <c r="J12" s="324">
        <v>12</v>
      </c>
      <c r="K12" s="323">
        <f>E12*I12</f>
        <v>666.66666666666663</v>
      </c>
      <c r="L12" s="53"/>
    </row>
    <row r="13" spans="2:12" s="245" customFormat="1" ht="20.100000000000001" customHeight="1">
      <c r="B13" s="610" t="s">
        <v>605</v>
      </c>
      <c r="C13" s="619" t="s">
        <v>544</v>
      </c>
      <c r="D13" s="619"/>
      <c r="E13" s="619"/>
      <c r="F13" s="619"/>
      <c r="G13" s="619"/>
      <c r="H13" s="619"/>
      <c r="I13" s="619"/>
      <c r="J13" s="619"/>
      <c r="K13" s="307">
        <f>SUM(K14:K26)</f>
        <v>8959.92</v>
      </c>
      <c r="L13" s="53"/>
    </row>
    <row r="14" spans="2:12" ht="18.75">
      <c r="B14" s="286">
        <v>1</v>
      </c>
      <c r="C14" s="288" t="s">
        <v>593</v>
      </c>
      <c r="D14" s="286" t="s">
        <v>527</v>
      </c>
      <c r="E14" s="286">
        <v>1</v>
      </c>
      <c r="F14" s="296" t="s">
        <v>522</v>
      </c>
      <c r="G14" s="286" t="s">
        <v>545</v>
      </c>
      <c r="H14" s="323">
        <f>I14+I14*20%</f>
        <v>139.99199999999999</v>
      </c>
      <c r="I14" s="323">
        <v>116.66</v>
      </c>
      <c r="J14" s="324">
        <v>12</v>
      </c>
      <c r="K14" s="323">
        <f>E14*I14*J14</f>
        <v>1399.92</v>
      </c>
      <c r="L14" s="259"/>
    </row>
    <row r="15" spans="2:12" ht="18.75">
      <c r="B15" s="286">
        <v>2</v>
      </c>
      <c r="C15" s="288" t="s">
        <v>596</v>
      </c>
      <c r="D15" s="286" t="s">
        <v>595</v>
      </c>
      <c r="E15" s="286">
        <v>30</v>
      </c>
      <c r="F15" s="296" t="s">
        <v>523</v>
      </c>
      <c r="G15" s="288" t="s">
        <v>594</v>
      </c>
      <c r="H15" s="325">
        <f>I15+I15*20%</f>
        <v>9.6</v>
      </c>
      <c r="I15" s="325">
        <v>8</v>
      </c>
      <c r="J15" s="324" t="s">
        <v>24</v>
      </c>
      <c r="K15" s="323">
        <f>E15*I15</f>
        <v>240</v>
      </c>
      <c r="L15" s="259"/>
    </row>
    <row r="16" spans="2:12" s="245" customFormat="1" ht="37.5">
      <c r="B16" s="286">
        <v>3</v>
      </c>
      <c r="C16" s="294" t="s">
        <v>597</v>
      </c>
      <c r="D16" s="286" t="s">
        <v>527</v>
      </c>
      <c r="E16" s="286">
        <v>1</v>
      </c>
      <c r="F16" s="286" t="s">
        <v>24</v>
      </c>
      <c r="G16" s="295" t="s">
        <v>546</v>
      </c>
      <c r="H16" s="323">
        <v>150</v>
      </c>
      <c r="I16" s="323">
        <v>125</v>
      </c>
      <c r="J16" s="324">
        <v>12</v>
      </c>
      <c r="K16" s="323">
        <f t="shared" ref="K16:K26" si="0">E16*I16*J16</f>
        <v>1500</v>
      </c>
    </row>
    <row r="17" spans="1:13" ht="38.1" customHeight="1">
      <c r="B17" s="286">
        <v>4</v>
      </c>
      <c r="C17" s="327" t="s">
        <v>525</v>
      </c>
      <c r="D17" s="286" t="s">
        <v>303</v>
      </c>
      <c r="E17" s="286">
        <v>1</v>
      </c>
      <c r="F17" s="296" t="s">
        <v>524</v>
      </c>
      <c r="G17" s="291"/>
      <c r="H17" s="326">
        <v>90</v>
      </c>
      <c r="I17" s="323">
        <f t="shared" ref="I17:I26" si="1">H17</f>
        <v>90</v>
      </c>
      <c r="J17" s="324">
        <v>6</v>
      </c>
      <c r="K17" s="323">
        <f t="shared" si="0"/>
        <v>540</v>
      </c>
      <c r="L17" s="58"/>
    </row>
    <row r="18" spans="1:13" s="245" customFormat="1" ht="38.1" customHeight="1">
      <c r="B18" s="286">
        <v>5</v>
      </c>
      <c r="C18" s="327" t="s">
        <v>526</v>
      </c>
      <c r="D18" s="286" t="s">
        <v>303</v>
      </c>
      <c r="E18" s="286">
        <v>1</v>
      </c>
      <c r="F18" s="296" t="s">
        <v>529</v>
      </c>
      <c r="G18" s="291"/>
      <c r="H18" s="326">
        <v>90</v>
      </c>
      <c r="I18" s="323">
        <f t="shared" si="1"/>
        <v>90</v>
      </c>
      <c r="J18" s="324">
        <v>6</v>
      </c>
      <c r="K18" s="323">
        <f t="shared" si="0"/>
        <v>540</v>
      </c>
      <c r="L18" s="58"/>
    </row>
    <row r="19" spans="1:13" s="245" customFormat="1" ht="38.1" customHeight="1">
      <c r="A19" s="245">
        <v>1</v>
      </c>
      <c r="B19" s="286">
        <v>6</v>
      </c>
      <c r="C19" s="327" t="s">
        <v>532</v>
      </c>
      <c r="D19" s="286" t="s">
        <v>303</v>
      </c>
      <c r="E19" s="286">
        <v>1</v>
      </c>
      <c r="F19" s="296" t="s">
        <v>530</v>
      </c>
      <c r="G19" s="291"/>
      <c r="H19" s="326">
        <v>90</v>
      </c>
      <c r="I19" s="323">
        <f t="shared" si="1"/>
        <v>90</v>
      </c>
      <c r="J19" s="324">
        <v>6</v>
      </c>
      <c r="K19" s="323">
        <f t="shared" si="0"/>
        <v>540</v>
      </c>
      <c r="L19" s="58"/>
    </row>
    <row r="20" spans="1:13" s="245" customFormat="1" ht="38.1" customHeight="1">
      <c r="B20" s="286">
        <v>7</v>
      </c>
      <c r="C20" s="327" t="s">
        <v>533</v>
      </c>
      <c r="D20" s="286" t="s">
        <v>303</v>
      </c>
      <c r="E20" s="286">
        <v>1</v>
      </c>
      <c r="F20" s="296" t="s">
        <v>531</v>
      </c>
      <c r="G20" s="291"/>
      <c r="H20" s="326">
        <v>90</v>
      </c>
      <c r="I20" s="323">
        <f t="shared" si="1"/>
        <v>90</v>
      </c>
      <c r="J20" s="324">
        <v>6</v>
      </c>
      <c r="K20" s="323">
        <f t="shared" si="0"/>
        <v>540</v>
      </c>
      <c r="L20" s="58"/>
      <c r="M20" s="245" t="s">
        <v>305</v>
      </c>
    </row>
    <row r="21" spans="1:13" ht="18.75">
      <c r="B21" s="286">
        <v>8</v>
      </c>
      <c r="C21" s="328" t="s">
        <v>534</v>
      </c>
      <c r="D21" s="286" t="s">
        <v>303</v>
      </c>
      <c r="E21" s="286">
        <v>1</v>
      </c>
      <c r="F21" s="296" t="s">
        <v>535</v>
      </c>
      <c r="G21" s="539" t="s">
        <v>547</v>
      </c>
      <c r="H21" s="325">
        <v>120</v>
      </c>
      <c r="I21" s="323">
        <f t="shared" si="1"/>
        <v>120</v>
      </c>
      <c r="J21" s="324">
        <v>12</v>
      </c>
      <c r="K21" s="323">
        <f t="shared" si="0"/>
        <v>1440</v>
      </c>
    </row>
    <row r="22" spans="1:13" s="245" customFormat="1" ht="18.75">
      <c r="B22" s="286">
        <v>9</v>
      </c>
      <c r="C22" s="328" t="s">
        <v>536</v>
      </c>
      <c r="D22" s="286" t="s">
        <v>303</v>
      </c>
      <c r="E22" s="286">
        <v>1</v>
      </c>
      <c r="F22" s="296" t="s">
        <v>537</v>
      </c>
      <c r="G22" s="291"/>
      <c r="H22" s="326">
        <v>85</v>
      </c>
      <c r="I22" s="326">
        <f t="shared" si="1"/>
        <v>85</v>
      </c>
      <c r="J22" s="329">
        <v>12</v>
      </c>
      <c r="K22" s="326">
        <f t="shared" si="0"/>
        <v>1020</v>
      </c>
    </row>
    <row r="23" spans="1:13" s="245" customFormat="1" ht="18.75">
      <c r="B23" s="286">
        <v>10</v>
      </c>
      <c r="C23" s="328" t="s">
        <v>538</v>
      </c>
      <c r="D23" s="286" t="s">
        <v>303</v>
      </c>
      <c r="E23" s="286">
        <v>1</v>
      </c>
      <c r="F23" s="296" t="s">
        <v>759</v>
      </c>
      <c r="G23" s="539" t="s">
        <v>549</v>
      </c>
      <c r="H23" s="325">
        <v>100</v>
      </c>
      <c r="I23" s="323">
        <f t="shared" si="1"/>
        <v>100</v>
      </c>
      <c r="J23" s="324">
        <v>12</v>
      </c>
      <c r="K23" s="323">
        <f t="shared" si="0"/>
        <v>1200</v>
      </c>
    </row>
    <row r="24" spans="1:13" s="245" customFormat="1" ht="18.75">
      <c r="B24" s="286">
        <v>11</v>
      </c>
      <c r="C24" s="328" t="s">
        <v>539</v>
      </c>
      <c r="D24" s="286" t="s">
        <v>303</v>
      </c>
      <c r="E24" s="286">
        <v>1</v>
      </c>
      <c r="F24" s="296" t="s">
        <v>541</v>
      </c>
      <c r="G24" s="291"/>
      <c r="H24" s="326"/>
      <c r="I24" s="326">
        <f t="shared" si="1"/>
        <v>0</v>
      </c>
      <c r="J24" s="329">
        <v>12</v>
      </c>
      <c r="K24" s="326">
        <f t="shared" si="0"/>
        <v>0</v>
      </c>
    </row>
    <row r="25" spans="1:13" s="245" customFormat="1" ht="18.75">
      <c r="B25" s="286">
        <v>12</v>
      </c>
      <c r="C25" s="291" t="s">
        <v>540</v>
      </c>
      <c r="D25" s="286" t="s">
        <v>303</v>
      </c>
      <c r="E25" s="286">
        <v>1</v>
      </c>
      <c r="F25" s="296" t="s">
        <v>542</v>
      </c>
      <c r="G25" s="294" t="s">
        <v>548</v>
      </c>
      <c r="H25" s="289"/>
      <c r="I25" s="289">
        <f t="shared" si="1"/>
        <v>0</v>
      </c>
      <c r="J25" s="286">
        <v>12</v>
      </c>
      <c r="K25" s="289">
        <f t="shared" si="0"/>
        <v>0</v>
      </c>
    </row>
    <row r="26" spans="1:13" ht="30" customHeight="1" thickBot="1">
      <c r="B26" s="286">
        <v>13</v>
      </c>
      <c r="C26" s="291" t="s">
        <v>540</v>
      </c>
      <c r="D26" s="286" t="s">
        <v>303</v>
      </c>
      <c r="E26" s="286">
        <v>1</v>
      </c>
      <c r="F26" s="296" t="s">
        <v>543</v>
      </c>
      <c r="G26" s="294" t="s">
        <v>528</v>
      </c>
      <c r="H26" s="289"/>
      <c r="I26" s="289">
        <f t="shared" si="1"/>
        <v>0</v>
      </c>
      <c r="J26" s="286">
        <v>12</v>
      </c>
      <c r="K26" s="289">
        <f t="shared" si="0"/>
        <v>0</v>
      </c>
    </row>
    <row r="27" spans="1:13" ht="24.75" customHeight="1" thickBot="1">
      <c r="C27" s="282" t="s">
        <v>514</v>
      </c>
      <c r="D27" s="1"/>
      <c r="E27" s="1"/>
      <c r="F27" s="185"/>
      <c r="G27" s="185"/>
      <c r="H27" s="185"/>
      <c r="I27" s="57"/>
      <c r="J27" s="57"/>
      <c r="K27" s="297">
        <f>K9+K13</f>
        <v>12786.586666666666</v>
      </c>
    </row>
    <row r="28" spans="1:13">
      <c r="I28" s="54"/>
      <c r="J28" s="54"/>
      <c r="K28" s="54"/>
    </row>
    <row r="30" spans="1:13" ht="18.75">
      <c r="B30" s="281" t="s">
        <v>550</v>
      </c>
      <c r="C30" s="281"/>
      <c r="D30" s="283"/>
      <c r="E30" s="283"/>
      <c r="F30" s="283"/>
      <c r="G30" s="283"/>
      <c r="H30" s="284"/>
    </row>
  </sheetData>
  <mergeCells count="6">
    <mergeCell ref="B4:K4"/>
    <mergeCell ref="B2:K2"/>
    <mergeCell ref="B3:K3"/>
    <mergeCell ref="B9:J9"/>
    <mergeCell ref="B13:J13"/>
    <mergeCell ref="B5:K5"/>
  </mergeCells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Q19"/>
  <sheetViews>
    <sheetView topLeftCell="A4" workbookViewId="0">
      <selection activeCell="B19" sqref="B19:J19"/>
    </sheetView>
  </sheetViews>
  <sheetFormatPr defaultRowHeight="12.75"/>
  <cols>
    <col min="1" max="1" width="1.28515625" style="1" customWidth="1"/>
    <col min="2" max="2" width="4" customWidth="1"/>
    <col min="3" max="3" width="5" customWidth="1"/>
    <col min="4" max="4" width="52.5703125" customWidth="1"/>
    <col min="5" max="5" width="10.28515625" customWidth="1"/>
    <col min="6" max="6" width="7.140625" bestFit="1" customWidth="1"/>
    <col min="7" max="7" width="8.7109375" customWidth="1"/>
    <col min="8" max="8" width="9.5703125" customWidth="1"/>
    <col min="9" max="9" width="9.5703125" style="245" customWidth="1"/>
    <col min="10" max="10" width="11.42578125" customWidth="1"/>
  </cols>
  <sheetData>
    <row r="1" spans="1:17" ht="9" customHeight="1"/>
    <row r="2" spans="1:17" s="245" customFormat="1" ht="15" customHeight="1">
      <c r="B2" s="573" t="s">
        <v>578</v>
      </c>
      <c r="C2" s="612"/>
      <c r="D2" s="612"/>
      <c r="E2" s="613"/>
      <c r="F2" s="613"/>
      <c r="G2" s="613"/>
    </row>
    <row r="3" spans="1:17" s="245" customFormat="1" ht="15" customHeight="1">
      <c r="B3" s="573" t="s">
        <v>579</v>
      </c>
      <c r="C3" s="612"/>
      <c r="D3" s="612"/>
      <c r="E3" s="613"/>
      <c r="F3" s="613"/>
      <c r="G3" s="613"/>
    </row>
    <row r="4" spans="1:17" s="245" customFormat="1" ht="36" customHeight="1">
      <c r="B4" s="573" t="s">
        <v>598</v>
      </c>
      <c r="C4" s="612"/>
      <c r="D4" s="612"/>
      <c r="E4" s="613"/>
      <c r="F4" s="613"/>
      <c r="G4" s="613"/>
    </row>
    <row r="5" spans="1:17" s="245" customFormat="1" ht="15" customHeight="1">
      <c r="B5" s="573" t="s">
        <v>639</v>
      </c>
      <c r="C5" s="612"/>
      <c r="D5" s="612"/>
      <c r="E5" s="613"/>
      <c r="F5" s="613"/>
      <c r="G5" s="613"/>
    </row>
    <row r="7" spans="1:17" ht="42">
      <c r="B7" s="285" t="s">
        <v>7</v>
      </c>
      <c r="C7" s="622" t="s">
        <v>257</v>
      </c>
      <c r="D7" s="623"/>
      <c r="E7" s="285" t="s">
        <v>0</v>
      </c>
      <c r="F7" s="285" t="s">
        <v>365</v>
      </c>
      <c r="G7" s="285" t="s">
        <v>316</v>
      </c>
      <c r="H7" s="285" t="s">
        <v>366</v>
      </c>
      <c r="I7" s="285" t="s">
        <v>518</v>
      </c>
      <c r="J7" s="285" t="s">
        <v>599</v>
      </c>
      <c r="K7" s="53"/>
    </row>
    <row r="8" spans="1:17" s="245" customFormat="1" ht="12" customHeight="1">
      <c r="A8" s="185"/>
      <c r="B8" s="304">
        <v>1</v>
      </c>
      <c r="C8" s="620">
        <v>2</v>
      </c>
      <c r="D8" s="621"/>
      <c r="E8" s="304">
        <v>3</v>
      </c>
      <c r="F8" s="304">
        <v>4</v>
      </c>
      <c r="G8" s="304">
        <v>5</v>
      </c>
      <c r="H8" s="304">
        <v>6</v>
      </c>
      <c r="I8" s="308"/>
      <c r="J8" s="304">
        <v>7</v>
      </c>
      <c r="K8" s="53"/>
    </row>
    <row r="9" spans="1:17" ht="20.100000000000001" customHeight="1">
      <c r="B9" s="294" t="s">
        <v>612</v>
      </c>
      <c r="C9" s="610" t="s">
        <v>600</v>
      </c>
      <c r="D9" s="576"/>
      <c r="E9" s="576"/>
      <c r="F9" s="576"/>
      <c r="G9" s="576"/>
      <c r="H9" s="576"/>
      <c r="I9" s="576"/>
      <c r="J9" s="330">
        <f>SUM(J10:J13)</f>
        <v>5459.4</v>
      </c>
      <c r="P9" s="263"/>
    </row>
    <row r="10" spans="1:17" ht="93.75" customHeight="1">
      <c r="B10" s="85"/>
      <c r="C10" s="294" t="s">
        <v>613</v>
      </c>
      <c r="D10" s="294" t="s">
        <v>614</v>
      </c>
      <c r="E10" s="295" t="s">
        <v>527</v>
      </c>
      <c r="F10" s="286">
        <v>40</v>
      </c>
      <c r="G10" s="289">
        <v>2</v>
      </c>
      <c r="H10" s="289">
        <f>F10*G10</f>
        <v>80</v>
      </c>
      <c r="I10" s="299">
        <v>12</v>
      </c>
      <c r="J10" s="289">
        <f>H10*I10</f>
        <v>960</v>
      </c>
      <c r="Q10" s="263"/>
    </row>
    <row r="11" spans="1:17" ht="78" customHeight="1">
      <c r="B11" s="85"/>
      <c r="C11" s="294" t="s">
        <v>617</v>
      </c>
      <c r="D11" s="294" t="s">
        <v>615</v>
      </c>
      <c r="E11" s="295" t="s">
        <v>527</v>
      </c>
      <c r="F11" s="286">
        <v>1</v>
      </c>
      <c r="G11" s="289">
        <v>100</v>
      </c>
      <c r="H11" s="289">
        <f>F11*G11</f>
        <v>100</v>
      </c>
      <c r="I11" s="299">
        <v>12</v>
      </c>
      <c r="J11" s="289">
        <f>H11*12</f>
        <v>1200</v>
      </c>
    </row>
    <row r="12" spans="1:17" ht="150">
      <c r="B12" s="85"/>
      <c r="C12" s="294" t="s">
        <v>618</v>
      </c>
      <c r="D12" s="539" t="s">
        <v>758</v>
      </c>
      <c r="E12" s="540" t="s">
        <v>527</v>
      </c>
      <c r="F12" s="541">
        <v>1</v>
      </c>
      <c r="G12" s="542">
        <v>134.94999999999999</v>
      </c>
      <c r="H12" s="542">
        <f>F12*G12</f>
        <v>134.94999999999999</v>
      </c>
      <c r="I12" s="543">
        <v>12</v>
      </c>
      <c r="J12" s="542">
        <f>H12*12</f>
        <v>1619.3999999999999</v>
      </c>
    </row>
    <row r="13" spans="1:17" ht="93.75">
      <c r="B13" s="85"/>
      <c r="C13" s="294" t="s">
        <v>619</v>
      </c>
      <c r="D13" s="294" t="s">
        <v>616</v>
      </c>
      <c r="E13" s="295" t="s">
        <v>527</v>
      </c>
      <c r="F13" s="286">
        <v>3</v>
      </c>
      <c r="G13" s="289">
        <v>140</v>
      </c>
      <c r="H13" s="289">
        <v>140</v>
      </c>
      <c r="I13" s="299">
        <v>12</v>
      </c>
      <c r="J13" s="289">
        <f>H13*I13</f>
        <v>1680</v>
      </c>
    </row>
    <row r="14" spans="1:17" ht="18.75">
      <c r="B14" s="294" t="s">
        <v>607</v>
      </c>
      <c r="C14" s="610" t="s">
        <v>608</v>
      </c>
      <c r="D14" s="576"/>
      <c r="E14" s="576"/>
      <c r="F14" s="576"/>
      <c r="G14" s="576"/>
      <c r="H14" s="576"/>
      <c r="I14" s="576"/>
      <c r="J14" s="310">
        <f>J15+J16</f>
        <v>2352</v>
      </c>
    </row>
    <row r="15" spans="1:17" ht="37.5">
      <c r="B15" s="85"/>
      <c r="C15" s="294" t="s">
        <v>606</v>
      </c>
      <c r="D15" s="294" t="s">
        <v>609</v>
      </c>
      <c r="E15" s="294" t="s">
        <v>527</v>
      </c>
      <c r="F15" s="286">
        <v>1</v>
      </c>
      <c r="G15" s="289">
        <v>190</v>
      </c>
      <c r="H15" s="289">
        <f>F15*G15</f>
        <v>190</v>
      </c>
      <c r="I15" s="299">
        <v>12</v>
      </c>
      <c r="J15" s="289">
        <f>H15*I15</f>
        <v>2280</v>
      </c>
    </row>
    <row r="16" spans="1:17" s="245" customFormat="1" ht="37.5">
      <c r="A16" s="185"/>
      <c r="B16" s="85"/>
      <c r="C16" s="309" t="s">
        <v>610</v>
      </c>
      <c r="D16" s="309" t="s">
        <v>611</v>
      </c>
      <c r="E16" s="295" t="s">
        <v>303</v>
      </c>
      <c r="F16" s="286">
        <v>2</v>
      </c>
      <c r="G16" s="289">
        <v>3</v>
      </c>
      <c r="H16" s="289">
        <f>F16*G16</f>
        <v>6</v>
      </c>
      <c r="I16" s="299">
        <v>12</v>
      </c>
      <c r="J16" s="289">
        <f>H16*I16</f>
        <v>72</v>
      </c>
    </row>
    <row r="17" spans="2:11" ht="24.75" customHeight="1">
      <c r="D17" s="311" t="s">
        <v>514</v>
      </c>
      <c r="E17" s="1"/>
      <c r="F17" s="1"/>
      <c r="G17" s="57"/>
      <c r="H17" s="57"/>
      <c r="I17" s="57"/>
      <c r="J17" s="310">
        <f>J14+J9</f>
        <v>7811.4</v>
      </c>
    </row>
    <row r="18" spans="2:11">
      <c r="G18" s="54"/>
      <c r="H18" s="54"/>
      <c r="I18" s="54"/>
      <c r="J18" s="54"/>
    </row>
    <row r="19" spans="2:11" ht="45" customHeight="1">
      <c r="B19" s="281" t="s">
        <v>550</v>
      </c>
      <c r="G19" s="54"/>
      <c r="H19" s="54"/>
      <c r="I19" s="54"/>
      <c r="J19" s="54"/>
      <c r="K19" s="54"/>
    </row>
  </sheetData>
  <mergeCells count="8">
    <mergeCell ref="C8:D8"/>
    <mergeCell ref="C14:I14"/>
    <mergeCell ref="C9:I9"/>
    <mergeCell ref="C7:D7"/>
    <mergeCell ref="B2:G2"/>
    <mergeCell ref="B3:G3"/>
    <mergeCell ref="B4:G4"/>
    <mergeCell ref="B5:G5"/>
  </mergeCells>
  <pageMargins left="0" right="0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Електроенергия</vt:lpstr>
      <vt:lpstr>1_2_паливо</vt:lpstr>
      <vt:lpstr>Пояснення_калькуляція</vt:lpstr>
      <vt:lpstr>2_1_1_розрах_утрим вир приміщ</vt:lpstr>
      <vt:lpstr> 2_1_2_ТО та повірка ПО</vt:lpstr>
      <vt:lpstr>АДМІН_МШП, канц.</vt:lpstr>
      <vt:lpstr>АДМІН_ремонт та обсл. ОЗ</vt:lpstr>
      <vt:lpstr>АДМІН_пошт., телекомун.</vt:lpstr>
      <vt:lpstr>АДМІН_РКО</vt:lpstr>
      <vt:lpstr>2_1_7_розрах ПММ</vt:lpstr>
      <vt:lpstr>План-график роботи водія</vt:lpstr>
      <vt:lpstr>План-график роботи водія 301120</vt:lpstr>
      <vt:lpstr>2_1_8_адмін оренда</vt:lpstr>
      <vt:lpstr>2_1_9_навчання з охорони праці</vt:lpstr>
      <vt:lpstr>2_2_ФОП</vt:lpstr>
      <vt:lpstr>Штатний розпис (2)</vt:lpstr>
      <vt:lpstr>Т</vt:lpstr>
      <vt:lpstr>3_Т на виробництво</vt:lpstr>
      <vt:lpstr>4_Т на транспортування</vt:lpstr>
      <vt:lpstr>5_Т на постачання</vt:lpstr>
      <vt:lpstr>6_Т двоставковий</vt:lpstr>
      <vt:lpstr>6_Т двоставковий (2)</vt:lpstr>
      <vt:lpstr>З-Т на відрядження</vt:lpstr>
      <vt:lpstr>структура</vt:lpstr>
      <vt:lpstr>2_2_ФОП_В2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2021-01-04T09:18:34Z</cp:lastPrinted>
  <dcterms:created xsi:type="dcterms:W3CDTF">2018-10-18T07:46:53Z</dcterms:created>
  <dcterms:modified xsi:type="dcterms:W3CDTF">2021-01-11T07:56:11Z</dcterms:modified>
</cp:coreProperties>
</file>